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ducts\PHOF\Comms\_February 2021 update\Table of updates\"/>
    </mc:Choice>
  </mc:AlternateContent>
  <xr:revisionPtr revIDLastSave="0" documentId="13_ncr:1_{A20CDF77-BFDC-492E-A179-A912DD3324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_of_updates" sheetId="1" r:id="rId1"/>
  </sheets>
  <definedNames>
    <definedName name="_xlnm._FilterDatabase" localSheetId="0" hidden="1">table_of_updates!$A$1:$J$179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148" i="1" l="1"/>
  <c r="B95" i="1" l="1"/>
  <c r="B45" i="1"/>
  <c r="B2" i="1" l="1"/>
  <c r="B144" i="1" l="1"/>
  <c r="B173" i="1" l="1"/>
  <c r="B172" i="1"/>
  <c r="B171" i="1"/>
  <c r="B170" i="1"/>
  <c r="B169" i="1"/>
  <c r="B155" i="1"/>
  <c r="B105" i="1"/>
  <c r="B104" i="1"/>
  <c r="B59" i="1"/>
  <c r="B58" i="1"/>
  <c r="B42" i="1"/>
  <c r="B39" i="1"/>
  <c r="B10" i="1"/>
  <c r="B8" i="1"/>
  <c r="B6" i="1"/>
  <c r="B4" i="1"/>
  <c r="B40" i="1"/>
  <c r="B78" i="1" l="1"/>
  <c r="B138" i="1"/>
  <c r="B129" i="1"/>
  <c r="B128" i="1"/>
  <c r="B71" i="1" l="1"/>
  <c r="B70" i="1"/>
  <c r="B69" i="1"/>
  <c r="B3" i="1" l="1"/>
  <c r="B5" i="1"/>
  <c r="B7" i="1"/>
  <c r="B9" i="1"/>
  <c r="B11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5" i="1"/>
  <c r="B36" i="1"/>
  <c r="B37" i="1"/>
  <c r="B38" i="1"/>
  <c r="B41" i="1"/>
  <c r="B43" i="1"/>
  <c r="B44" i="1"/>
  <c r="B48" i="1"/>
  <c r="B49" i="1"/>
  <c r="B50" i="1"/>
  <c r="B51" i="1"/>
  <c r="B14" i="1"/>
  <c r="B34" i="1"/>
  <c r="B57" i="1"/>
  <c r="B63" i="1"/>
  <c r="B64" i="1"/>
  <c r="B67" i="1"/>
  <c r="B68" i="1"/>
  <c r="B72" i="1"/>
  <c r="B73" i="1"/>
  <c r="B74" i="1"/>
  <c r="B75" i="1"/>
  <c r="B76" i="1"/>
  <c r="B77" i="1"/>
  <c r="B79" i="1"/>
  <c r="B80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3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66" i="1"/>
  <c r="B121" i="1"/>
  <c r="B122" i="1"/>
  <c r="B123" i="1"/>
  <c r="B124" i="1"/>
  <c r="B125" i="1"/>
  <c r="B126" i="1"/>
  <c r="B127" i="1"/>
  <c r="B130" i="1"/>
  <c r="B131" i="1"/>
  <c r="B132" i="1"/>
  <c r="B133" i="1"/>
  <c r="B134" i="1"/>
  <c r="B135" i="1"/>
  <c r="B136" i="1"/>
  <c r="B137" i="1"/>
  <c r="B139" i="1"/>
  <c r="B140" i="1"/>
  <c r="B142" i="1"/>
  <c r="B143" i="1"/>
  <c r="B145" i="1"/>
  <c r="B146" i="1"/>
  <c r="B147" i="1"/>
  <c r="B149" i="1"/>
  <c r="B150" i="1"/>
  <c r="B151" i="1"/>
  <c r="B152" i="1"/>
  <c r="B153" i="1"/>
  <c r="B154" i="1"/>
  <c r="B156" i="1"/>
  <c r="B157" i="1"/>
  <c r="B158" i="1"/>
  <c r="B159" i="1"/>
  <c r="B160" i="1"/>
  <c r="B161" i="1"/>
  <c r="B162" i="1"/>
  <c r="B163" i="1"/>
  <c r="B164" i="1"/>
  <c r="B165" i="1"/>
  <c r="B168" i="1"/>
  <c r="B174" i="1"/>
  <c r="B175" i="1"/>
  <c r="B176" i="1"/>
  <c r="B177" i="1"/>
  <c r="B178" i="1"/>
  <c r="B179" i="1"/>
</calcChain>
</file>

<file path=xl/sharedStrings.xml><?xml version="1.0" encoding="utf-8"?>
<sst xmlns="http://schemas.openxmlformats.org/spreadsheetml/2006/main" count="1015" uniqueCount="187">
  <si>
    <t>IndicatorID</t>
  </si>
  <si>
    <t>Indicator name</t>
  </si>
  <si>
    <t>Time period added</t>
  </si>
  <si>
    <t>New or updated indicator</t>
  </si>
  <si>
    <t>Geographies included</t>
  </si>
  <si>
    <t>Additional breakdowns</t>
  </si>
  <si>
    <t>Age</t>
  </si>
  <si>
    <t>Calculated by</t>
  </si>
  <si>
    <t>England
Region
County &amp; UA</t>
  </si>
  <si>
    <t xml:space="preserve">
Gender
</t>
  </si>
  <si>
    <t>All ages</t>
  </si>
  <si>
    <t>England
Region
County &amp; UA
District &amp; UA</t>
  </si>
  <si>
    <t xml:space="preserve">Deprivation deciles
Gender
</t>
  </si>
  <si>
    <t>England</t>
  </si>
  <si>
    <t>County &amp; UA</t>
  </si>
  <si>
    <t>2018/19</t>
  </si>
  <si>
    <t xml:space="preserve">Ethnic groups
First language status
Special educational needs (SEN) status
Deprivation deciles
Gender
</t>
  </si>
  <si>
    <t>5 yrs</t>
  </si>
  <si>
    <t xml:space="preserve">Ethnic groups
Special educational needs (SEN) status
Deprivation deciles
Gender
</t>
  </si>
  <si>
    <t xml:space="preserve">Ethnic groups
First language status
Special educational needs (SEN) status
Month born
Deprivation deciles
Gender
</t>
  </si>
  <si>
    <t>6 yrs</t>
  </si>
  <si>
    <t xml:space="preserve">Ethnic groups
Deprivation deciles
Gender
</t>
  </si>
  <si>
    <t xml:space="preserve">Deprivation deciles
Eligibility for free school meals
Gender
</t>
  </si>
  <si>
    <t>2017/18</t>
  </si>
  <si>
    <t>5-15 yrs</t>
  </si>
  <si>
    <t xml:space="preserve">Deprivation deciles
</t>
  </si>
  <si>
    <t>10-17 yrs</t>
  </si>
  <si>
    <t xml:space="preserve">Deprivation deciles
Ethnic groups
Gender
</t>
  </si>
  <si>
    <t>16-17 yrs</t>
  </si>
  <si>
    <t>18-64 yrs</t>
  </si>
  <si>
    <t>18-69 yrs</t>
  </si>
  <si>
    <t xml:space="preserve">
</t>
  </si>
  <si>
    <t>18+ yrs</t>
  </si>
  <si>
    <t>16-64 yrs</t>
  </si>
  <si>
    <t>Ethnic groups
Deprivation deciles
Gender
Age groups</t>
  </si>
  <si>
    <t>16+ yrs</t>
  </si>
  <si>
    <t>10+ yrs</t>
  </si>
  <si>
    <t>2015/16</t>
  </si>
  <si>
    <t xml:space="preserve">Ethnic groups
Household composition
Tenure
Rurality
Disability
Working Status
Deprivation deciles
</t>
  </si>
  <si>
    <t>Not applicable</t>
  </si>
  <si>
    <t>Deprivation deciles
Ethnic groups
Religion
Support Setting
Mechanism of delivery
Service user full cost client
Primary support reason
Sexuality
Gender
Age groups</t>
  </si>
  <si>
    <t>Deprivation deciles
Ethnic groups
Religion
Primary support reason
Sexuality
Gender
Age groups</t>
  </si>
  <si>
    <t>0-19 yrs</t>
  </si>
  <si>
    <t>&lt;16 yrs</t>
  </si>
  <si>
    <t>&lt;18 yrs</t>
  </si>
  <si>
    <t>&gt;=37 weeks gestational age at birth</t>
  </si>
  <si>
    <t xml:space="preserve">Ethnic groups
Deprivation deciles
Age of mother
Complex social factors (mother)
Prematurity
</t>
  </si>
  <si>
    <t>Newborn</t>
  </si>
  <si>
    <t>&lt;14 days</t>
  </si>
  <si>
    <t>2-2.5 yrs</t>
  </si>
  <si>
    <t>4-5 yrs</t>
  </si>
  <si>
    <t>10-11 yrs</t>
  </si>
  <si>
    <t xml:space="preserve">School year group
Ethnic groups
Gender
</t>
  </si>
  <si>
    <t>5-16 yrs</t>
  </si>
  <si>
    <t>&lt;15 yrs</t>
  </si>
  <si>
    <t>0-4 yrs</t>
  </si>
  <si>
    <t>15-24 yrs</t>
  </si>
  <si>
    <t>15 yrs</t>
  </si>
  <si>
    <t>Working Status
Disability
Socioeconomic class
Deprivation deciles
Ethnic groups
Level of education
Gender
Age groups</t>
  </si>
  <si>
    <t>19+ yrs</t>
  </si>
  <si>
    <t>17+ yrs</t>
  </si>
  <si>
    <t>53-70 yrs</t>
  </si>
  <si>
    <t>25-49 yrs</t>
  </si>
  <si>
    <t>50-64 yrs</t>
  </si>
  <si>
    <t>60-74 yrs</t>
  </si>
  <si>
    <t>England
Region</t>
  </si>
  <si>
    <t>12+ yrs</t>
  </si>
  <si>
    <t>&lt;1 yr</t>
  </si>
  <si>
    <t>40-74 yrs</t>
  </si>
  <si>
    <t>Ethnic groups
Religion
Sexuality
Deprivation deciles
Working Status
Gender
Age groups</t>
  </si>
  <si>
    <t>Working Status
Disability
Ethnic groups
Employment type
Gender
Age groups</t>
  </si>
  <si>
    <t>65+ yrs</t>
  </si>
  <si>
    <t>65-79 yrs</t>
  </si>
  <si>
    <t>80+ yrs</t>
  </si>
  <si>
    <t>6-8 weeks</t>
  </si>
  <si>
    <t xml:space="preserve">Ethnic groups
Deprivation deciles
</t>
  </si>
  <si>
    <t>30+ yrs</t>
  </si>
  <si>
    <t>15-64 yrs</t>
  </si>
  <si>
    <t>1 yr</t>
  </si>
  <si>
    <t>England
County &amp; UA</t>
  </si>
  <si>
    <t>2 yrs</t>
  </si>
  <si>
    <t>2-3 yrs</t>
  </si>
  <si>
    <t>12-13 yrs</t>
  </si>
  <si>
    <t>13-14 yrs</t>
  </si>
  <si>
    <t>6 months-64 yrs</t>
  </si>
  <si>
    <t xml:space="preserve">Deprivation deciles
Exposure groups
Ethnic groups
</t>
  </si>
  <si>
    <t>15+ yrs</t>
  </si>
  <si>
    <t>&lt;75 yrs</t>
  </si>
  <si>
    <t>40+ yrs</t>
  </si>
  <si>
    <t>85+ yrs</t>
  </si>
  <si>
    <t>18-74 yrs</t>
  </si>
  <si>
    <t>Yes</t>
  </si>
  <si>
    <t>ONS</t>
  </si>
  <si>
    <t>No</t>
  </si>
  <si>
    <t>PHE, using data provided by ONS</t>
  </si>
  <si>
    <t>DfE (PHE adds confidence limits)</t>
  </si>
  <si>
    <t>MoJ (PHE adds confidence limits)</t>
  </si>
  <si>
    <t>NHS Digital (PHE adds confidence limits)</t>
  </si>
  <si>
    <t>NHSE (PHE adds confidence limits)</t>
  </si>
  <si>
    <t>PHE, from data provded by ONS</t>
  </si>
  <si>
    <t>PHE, using data published by NHS Digital and ONS (Nomis)</t>
  </si>
  <si>
    <t>ONS (Nomis). PHE adds confidence limits</t>
  </si>
  <si>
    <t>PHE, from data provided by ONS</t>
  </si>
  <si>
    <t>PHE, using data published by ONS</t>
  </si>
  <si>
    <t>PHE, using data provided by NHS Digital and ONS</t>
  </si>
  <si>
    <t>PHE, from data published by Home Office and ONS</t>
  </si>
  <si>
    <t>PHE, from data provided by MoJ and ONS</t>
  </si>
  <si>
    <t>DEFRA</t>
  </si>
  <si>
    <t>BEIS</t>
  </si>
  <si>
    <t>NHSD</t>
  </si>
  <si>
    <t>PHE, using from data published by DfT and ONS</t>
  </si>
  <si>
    <t>PHE, from data provided by NHSD, NHS BSA and ONS</t>
  </si>
  <si>
    <t>ONS (PHE adds confidence limits)</t>
  </si>
  <si>
    <t>PHE, from data published by NHSD</t>
  </si>
  <si>
    <t>PHE</t>
  </si>
  <si>
    <t>Sport England</t>
  </si>
  <si>
    <t>PHE, from data provided by Sport England</t>
  </si>
  <si>
    <t>PHE, from data
provided by
NHSD</t>
  </si>
  <si>
    <t>PHE, using data published by Defra</t>
  </si>
  <si>
    <t>NHSD (PHE adds confidence limits)</t>
  </si>
  <si>
    <t>PHE (Confidence limits added for PHOF)</t>
  </si>
  <si>
    <t>PHE, calculated from data provided by NHS BSA and NHSD</t>
  </si>
  <si>
    <t>PHE, from data provided by Moorfields Eye Hospital and ONS</t>
  </si>
  <si>
    <t>BEIS = Department for Business, Energy &amp; Industrial Strategy, DfE = Department for Education, MHCLG = Ministry of Housing, Communities &amp; Local Government, MoJ = Ministry of Justice, NHS BSA = NHS Business Services Authority, NHSD = NHS Digital, ONS = Office for National Statistics</t>
  </si>
  <si>
    <t>Last updated</t>
  </si>
  <si>
    <t>Natural England</t>
  </si>
  <si>
    <t>MHCLG (PHE adds confidence limits)</t>
  </si>
  <si>
    <t>PHE, using data provided by NHS Digital</t>
  </si>
  <si>
    <t>Calculated by PHE from data provided by Sustainable Development Unit</t>
  </si>
  <si>
    <t>NEW</t>
  </si>
  <si>
    <t>B10 - Killed and seriously injured (KSI) casualties on England's roads</t>
  </si>
  <si>
    <t>Change Def</t>
  </si>
  <si>
    <t>B15b - Homelessness: Number of Rough Sleepers</t>
  </si>
  <si>
    <t>B19a - UCLA Loneliness measure</t>
  </si>
  <si>
    <t>B19b - How often do you feel that you lack companionship?</t>
  </si>
  <si>
    <t>B19c - How often do you feel left out?</t>
  </si>
  <si>
    <t>B19d - How often do you feel isolated from others?</t>
  </si>
  <si>
    <t>B19e -  How often do you feel lonely?</t>
  </si>
  <si>
    <t>C03c - Smoking in early pregnancy</t>
  </si>
  <si>
    <t>C03a - Obesity in early pregnancy</t>
  </si>
  <si>
    <t>C03b - Drinking in early pregnancy</t>
  </si>
  <si>
    <t>C05b - Breastfeeding - breastfeeding prevalence at 6-8 weeks after birth</t>
  </si>
  <si>
    <t>D04d - Population vaccination coverage - Flu (primary school aged children (reception to year 6))</t>
  </si>
  <si>
    <t>2019/20</t>
  </si>
  <si>
    <t>14-15 yrs</t>
  </si>
  <si>
    <t>Already in public domain in exact format</t>
  </si>
  <si>
    <t>C14a - Attendances at A&amp;E for self-harm per 100,000 population</t>
  </si>
  <si>
    <t>Influenza Surveillance Team, PHE</t>
  </si>
  <si>
    <t>New</t>
  </si>
  <si>
    <t>4-11 yrs</t>
  </si>
  <si>
    <t>PHE, from Maternity Services dataset</t>
  </si>
  <si>
    <t>Updated with new definition</t>
  </si>
  <si>
    <t>Deprivation deciles</t>
  </si>
  <si>
    <t>0-15 yrs</t>
  </si>
  <si>
    <t>2017-19</t>
  </si>
  <si>
    <t>New indicator</t>
  </si>
  <si>
    <t>Aug 2018 - Jul 2019</t>
  </si>
  <si>
    <t xml:space="preserve">Gender
</t>
  </si>
  <si>
    <t xml:space="preserve">Deprivation deciles
Age (mother)
Complex social factors (mother)
First or subsequent pregnancy
Ethnic Groups                              </t>
  </si>
  <si>
    <t>Deprivation deciles
Age (mother)
First or subsequent pregnancy
Ethnic Groups</t>
  </si>
  <si>
    <t xml:space="preserve">Deprivation deciles
</t>
  </si>
  <si>
    <t>Ethnic groups
Religion
Health status
Deprivation deciles
Country of birth
Socioeconomic group (18-64 yrs)
Gender
Age groups
Housing tenure</t>
  </si>
  <si>
    <t>Deprivation deciles
School year</t>
  </si>
  <si>
    <t>In development</t>
  </si>
  <si>
    <t>New definition</t>
  </si>
  <si>
    <t>PHE, using data from NHS Digital NCMP programme</t>
  </si>
  <si>
    <t>NHS Digital SDD Survey</t>
  </si>
  <si>
    <t>PHE, data from MHCLG and ONS</t>
  </si>
  <si>
    <t>E09a - Premature mortality in adults with severe mental illness (SMI)</t>
  </si>
  <si>
    <t>E09b - Excess under 75 mortality rate in adults with severe mental illness (SMI)</t>
  </si>
  <si>
    <t>NHS-Digital</t>
  </si>
  <si>
    <t>2017-2019</t>
  </si>
  <si>
    <t>2017/18-2019/20</t>
  </si>
  <si>
    <t>2016-18</t>
  </si>
  <si>
    <t>2009-13</t>
  </si>
  <si>
    <t>Mar 2015-Feb 2016</t>
  </si>
  <si>
    <t>2015/16-19/20</t>
  </si>
  <si>
    <t>2015-17</t>
  </si>
  <si>
    <t>Deprivation deciles
Ethnic group</t>
  </si>
  <si>
    <t>Deprivation decilies</t>
  </si>
  <si>
    <t xml:space="preserve">B01b - Children in absolute income families (under 16s)
</t>
  </si>
  <si>
    <t xml:space="preserve">B01b - Children in relatively low income families (under 16s)
</t>
  </si>
  <si>
    <t xml:space="preserve">Updated with new definition 
</t>
  </si>
  <si>
    <t>In development will replace 1.10</t>
  </si>
  <si>
    <t>Revised defintion replaced 1.15i</t>
  </si>
  <si>
    <t>Revised defintion
Replaced 1.15ii (11502)</t>
  </si>
  <si>
    <t>In development will replace 2.02ii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</si>
</sst>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u/>
      <sz val="12"/>
      <color rgb="FF0070C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17" fontId="18" fillId="33" borderId="12" xfId="0" applyNumberFormat="1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17" fontId="18" fillId="33" borderId="10" xfId="0" applyNumberFormat="1" applyFont="1" applyFill="1" applyBorder="1" applyAlignment="1">
      <alignment vertic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/>
    </xf>
    <xf numFmtId="17" fontId="18" fillId="34" borderId="10" xfId="0" applyNumberFormat="1" applyFont="1" applyFill="1" applyBorder="1" applyAlignment="1">
      <alignment vertical="center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vertical="center"/>
    </xf>
    <xf numFmtId="17" fontId="21" fillId="34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18" fillId="35" borderId="10" xfId="0" applyFont="1" applyFill="1" applyBorder="1" applyAlignment="1">
      <alignment horizontal="left"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vertical="center"/>
    </xf>
    <xf numFmtId="0" fontId="20" fillId="35" borderId="10" xfId="0" applyFont="1" applyFill="1" applyBorder="1" applyAlignment="1">
      <alignment vertical="center" wrapText="1"/>
    </xf>
    <xf numFmtId="0" fontId="0" fillId="0" borderId="0" xfId="0" applyFill="1"/>
    <xf numFmtId="0" fontId="22" fillId="0" borderId="10" xfId="42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17" fontId="21" fillId="33" borderId="10" xfId="0" applyNumberFormat="1" applyFont="1" applyFill="1" applyBorder="1" applyAlignment="1">
      <alignment vertical="center"/>
    </xf>
    <xf numFmtId="0" fontId="19" fillId="34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3" fillId="0" borderId="10" xfId="42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ingertips.phe.org.uk/profile/public-health-outcomes-framework/data" TargetMode="External"/><Relationship Id="rId7" Type="http://schemas.openxmlformats.org/officeDocument/2006/relationships/hyperlink" Target="https://fingertips.phe.org.uk/profile/public-health-outcomes-framework/data" TargetMode="External"/><Relationship Id="rId2" Type="http://schemas.openxmlformats.org/officeDocument/2006/relationships/hyperlink" Target="https://fingertips.phe.org.uk/profile/public-health-outcomes-framework/data" TargetMode="External"/><Relationship Id="rId1" Type="http://schemas.openxmlformats.org/officeDocument/2006/relationships/hyperlink" Target="https://fingertips.phe.org.uk/profile/public-health-outcomes-framework/data" TargetMode="External"/><Relationship Id="rId6" Type="http://schemas.openxmlformats.org/officeDocument/2006/relationships/hyperlink" Target="https://fingertips.phe.org.uk/profile/public-health-outcomes-framework/data" TargetMode="External"/><Relationship Id="rId5" Type="http://schemas.openxmlformats.org/officeDocument/2006/relationships/hyperlink" Target="https://fingertips.phe.org.uk/profile/public-health-outcomes-framework/data" TargetMode="External"/><Relationship Id="rId4" Type="http://schemas.openxmlformats.org/officeDocument/2006/relationships/hyperlink" Target="https://fingertips.phe.org.uk/profile/public-health-outcomes-framework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1"/>
  <sheetViews>
    <sheetView tabSelected="1" zoomScale="80" zoomScaleNormal="80" workbookViewId="0"/>
  </sheetViews>
  <sheetFormatPr defaultRowHeight="15" x14ac:dyDescent="0.25"/>
  <cols>
    <col min="1" max="1" width="13" style="4" customWidth="1"/>
    <col min="2" max="2" width="70.42578125" customWidth="1"/>
    <col min="3" max="3" width="15.7109375" style="4" bestFit="1" customWidth="1"/>
    <col min="4" max="4" width="21.42578125" customWidth="1"/>
    <col min="5" max="5" width="23.5703125" bestFit="1" customWidth="1"/>
    <col min="6" max="6" width="52.85546875" style="1" customWidth="1"/>
    <col min="7" max="7" width="13.7109375" bestFit="1" customWidth="1"/>
    <col min="8" max="8" width="23.5703125" customWidth="1"/>
    <col min="9" max="9" width="23.85546875" customWidth="1"/>
    <col min="10" max="10" width="14.42578125" bestFit="1" customWidth="1"/>
    <col min="12" max="12" width="18.85546875" bestFit="1" customWidth="1"/>
  </cols>
  <sheetData>
    <row r="1" spans="1:43" s="1" customFormat="1" ht="45.75" thickBot="1" x14ac:dyDescent="0.3">
      <c r="A1" s="18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145</v>
      </c>
      <c r="I1" s="9" t="s">
        <v>7</v>
      </c>
      <c r="J1" s="19" t="s">
        <v>124</v>
      </c>
      <c r="O1"/>
    </row>
    <row r="2" spans="1:43" ht="45.75" thickTop="1" x14ac:dyDescent="0.25">
      <c r="A2" s="8">
        <v>90362</v>
      </c>
      <c r="B2" s="5" t="str">
        <f>HYPERLINK("https://fingertips.phe.org.uk/profile/public-health-outcomes-framework/data#page/6/gid/1000049/pat/6/par/E12000004/ati/102/are/E06000015/iid/90362/age/1/sex/1","A01a - Healthy life expectancy at birth")</f>
        <v>A01a - Healthy life expectancy at birth</v>
      </c>
      <c r="C2" s="12" t="s">
        <v>173</v>
      </c>
      <c r="D2" s="11"/>
      <c r="E2" s="14" t="s">
        <v>8</v>
      </c>
      <c r="F2" s="14" t="s">
        <v>12</v>
      </c>
      <c r="G2" s="12" t="s">
        <v>10</v>
      </c>
      <c r="H2" s="13" t="s">
        <v>91</v>
      </c>
      <c r="I2" s="11" t="s">
        <v>92</v>
      </c>
      <c r="J2" s="7">
        <v>43952</v>
      </c>
    </row>
    <row r="3" spans="1:43" ht="60" x14ac:dyDescent="0.25">
      <c r="A3" s="17">
        <v>90366</v>
      </c>
      <c r="B3" s="5" t="str">
        <f>HYPERLINK("https://fingertips.phe.org.uk/profile/public-health-outcomes-framework/data#page/6/gid/1000049/pat/6/par/E12000004/ati/102/are/E06000015/iid/90366/age/1/sex/1","A01b - Life expectancy at birth")</f>
        <v>A01b - Life expectancy at birth</v>
      </c>
      <c r="C3" s="3" t="s">
        <v>154</v>
      </c>
      <c r="D3" s="2"/>
      <c r="E3" s="2" t="s">
        <v>11</v>
      </c>
      <c r="F3" s="2" t="s">
        <v>157</v>
      </c>
      <c r="G3" s="3" t="s">
        <v>10</v>
      </c>
      <c r="H3" s="15" t="s">
        <v>91</v>
      </c>
      <c r="I3" s="2" t="s">
        <v>92</v>
      </c>
      <c r="J3" s="16">
        <v>44136</v>
      </c>
    </row>
    <row r="4" spans="1:43" ht="45" x14ac:dyDescent="0.25">
      <c r="A4" s="17">
        <v>93562</v>
      </c>
      <c r="B4" s="5" t="str">
        <f>HYPERLINK("https://fingertips.phe.org.uk/profile/public-health-outcomes-framework/data#page/6/gid/1000049/pat/6/par/E12000004/ati/102/are/E06000015/iid/93562/age/1/sex/1","A01c - Disability-free life expectancy at birth")</f>
        <v>A01c - Disability-free life expectancy at birth</v>
      </c>
      <c r="C4" s="3" t="s">
        <v>173</v>
      </c>
      <c r="D4" s="2"/>
      <c r="E4" s="2" t="s">
        <v>8</v>
      </c>
      <c r="F4" s="2" t="s">
        <v>12</v>
      </c>
      <c r="G4" s="3" t="s">
        <v>10</v>
      </c>
      <c r="H4" s="15" t="s">
        <v>91</v>
      </c>
      <c r="I4" s="2" t="s">
        <v>92</v>
      </c>
      <c r="J4" s="16">
        <v>43952</v>
      </c>
    </row>
    <row r="5" spans="1:43" ht="60" x14ac:dyDescent="0.25">
      <c r="A5" s="17">
        <v>92901</v>
      </c>
      <c r="B5" s="5" t="str">
        <f>HYPERLINK("https://fingertips.phe.org.uk/profile/public-health-outcomes-framework/data#page/6/gid/1000049/pat/6/par/E12000004/ati/102/are/E06000015/iid/92901/age/1/sex/1","A02a - Inequality in life expectancy at birth")</f>
        <v>A02a - Inequality in life expectancy at birth</v>
      </c>
      <c r="C5" s="3" t="s">
        <v>171</v>
      </c>
      <c r="D5" s="2"/>
      <c r="E5" s="2" t="s">
        <v>11</v>
      </c>
      <c r="F5" s="2" t="s">
        <v>9</v>
      </c>
      <c r="G5" s="3" t="s">
        <v>10</v>
      </c>
      <c r="H5" s="15" t="s">
        <v>93</v>
      </c>
      <c r="I5" s="2" t="s">
        <v>94</v>
      </c>
      <c r="J5" s="16">
        <v>44228</v>
      </c>
    </row>
    <row r="6" spans="1:43" ht="45" x14ac:dyDescent="0.25">
      <c r="A6" s="17">
        <v>90825</v>
      </c>
      <c r="B6" s="5" t="str">
        <f>HYPERLINK("https://fingertips.phe.org.uk/profile/public-health-outcomes-framework/data#page/6/gid/1000049/pat/6/par/E12000004/ati/102/are/E06000015/iid/90825/age/1/sex/1","A02b - Inequality in healthy life expectancy at birth ENGLAND")</f>
        <v>A02b - Inequality in healthy life expectancy at birth ENGLAND</v>
      </c>
      <c r="C6" s="3" t="s">
        <v>173</v>
      </c>
      <c r="D6" s="2"/>
      <c r="E6" s="2" t="s">
        <v>13</v>
      </c>
      <c r="F6" s="2" t="s">
        <v>9</v>
      </c>
      <c r="G6" s="3" t="s">
        <v>10</v>
      </c>
      <c r="H6" s="15"/>
      <c r="I6" s="2" t="s">
        <v>94</v>
      </c>
      <c r="J6" s="16">
        <v>43952</v>
      </c>
    </row>
    <row r="7" spans="1:43" ht="52.5" customHeight="1" x14ac:dyDescent="0.25">
      <c r="A7" s="17">
        <v>92031</v>
      </c>
      <c r="B7" s="5" t="str">
        <f>HYPERLINK("https://fingertips.phe.org.uk/profile/public-health-outcomes-framework/data#page/6/gid/1000049/pat/6/par/E12000004/ati/102/are/E06000015/iid/92031/age/1/sex/1","A02c - Inequality in healthy life expectancy at birth LA")</f>
        <v>A02c - Inequality in healthy life expectancy at birth LA</v>
      </c>
      <c r="C7" s="3" t="s">
        <v>174</v>
      </c>
      <c r="D7" s="2"/>
      <c r="E7" s="2" t="s">
        <v>14</v>
      </c>
      <c r="F7" s="2"/>
      <c r="G7" s="3" t="s">
        <v>10</v>
      </c>
      <c r="H7" s="15"/>
      <c r="I7" s="2" t="s">
        <v>94</v>
      </c>
      <c r="J7" s="16">
        <v>42401</v>
      </c>
    </row>
    <row r="8" spans="1:43" ht="45" x14ac:dyDescent="0.25">
      <c r="A8" s="17">
        <v>93505</v>
      </c>
      <c r="B8" s="5" t="str">
        <f>HYPERLINK("https://fingertips.phe.org.uk/profile/public-health-outcomes-framework/data#page/6/gid/1000049/pat/6/par/E12000004/ati/102/are/E06000015/iid/93505/age/94/sex/1","A01a - Healthy life expectancy at 65")</f>
        <v>A01a - Healthy life expectancy at 65</v>
      </c>
      <c r="C8" s="3" t="s">
        <v>173</v>
      </c>
      <c r="D8" s="2"/>
      <c r="E8" s="2" t="s">
        <v>8</v>
      </c>
      <c r="F8" s="2" t="s">
        <v>12</v>
      </c>
      <c r="G8" s="3">
        <v>65</v>
      </c>
      <c r="H8" s="15" t="s">
        <v>91</v>
      </c>
      <c r="I8" s="2" t="s">
        <v>92</v>
      </c>
      <c r="J8" s="16">
        <v>43952</v>
      </c>
    </row>
    <row r="9" spans="1:43" ht="60" x14ac:dyDescent="0.25">
      <c r="A9" s="17">
        <v>91102</v>
      </c>
      <c r="B9" s="5" t="str">
        <f>HYPERLINK("https://fingertips.phe.org.uk/profile/public-health-outcomes-framework/data#page/6/gid/1000049/pat/6/par/E12000004/ati/102/are/E06000015/iid/91102/age/94/sex/1","A01b - Life expectancy at 65")</f>
        <v>A01b - Life expectancy at 65</v>
      </c>
      <c r="C9" s="3" t="s">
        <v>154</v>
      </c>
      <c r="D9" s="2"/>
      <c r="E9" s="2" t="s">
        <v>11</v>
      </c>
      <c r="F9" s="2" t="s">
        <v>12</v>
      </c>
      <c r="G9" s="3">
        <v>65</v>
      </c>
      <c r="H9" s="15" t="s">
        <v>91</v>
      </c>
      <c r="I9" s="2" t="s">
        <v>92</v>
      </c>
      <c r="J9" s="16">
        <v>44136</v>
      </c>
    </row>
    <row r="10" spans="1:43" ht="45" x14ac:dyDescent="0.25">
      <c r="A10" s="17">
        <v>93523</v>
      </c>
      <c r="B10" s="5" t="str">
        <f>HYPERLINK("https://fingertips.phe.org.uk/profile/public-health-outcomes-framework/data#page/6/gid/1000049/pat/6/par/E12000004/ati/102/are/E06000015/iid/93523/age/94/sex/1","A01c - Disability-free life expectancy at 65")</f>
        <v>A01c - Disability-free life expectancy at 65</v>
      </c>
      <c r="C10" s="3" t="s">
        <v>173</v>
      </c>
      <c r="D10" s="2"/>
      <c r="E10" s="2" t="s">
        <v>8</v>
      </c>
      <c r="F10" s="2" t="s">
        <v>12</v>
      </c>
      <c r="G10" s="3">
        <v>65</v>
      </c>
      <c r="H10" s="15" t="s">
        <v>91</v>
      </c>
      <c r="I10" s="2" t="s">
        <v>92</v>
      </c>
      <c r="J10" s="16">
        <v>43952</v>
      </c>
    </row>
    <row r="11" spans="1:43" ht="60" x14ac:dyDescent="0.25">
      <c r="A11" s="17">
        <v>93190</v>
      </c>
      <c r="B11" s="5" t="str">
        <f>HYPERLINK("https://fingertips.phe.org.uk/profile/public-health-outcomes-framework/data#page/6/gid/1000049/pat/6/par/E12000004/ati/102/are/E06000015/iid/93190/age/94/sex/1","A02a - Inequality in life expectancy at 65")</f>
        <v>A02a - Inequality in life expectancy at 65</v>
      </c>
      <c r="C11" s="3" t="s">
        <v>171</v>
      </c>
      <c r="D11" s="2"/>
      <c r="E11" s="2" t="s">
        <v>11</v>
      </c>
      <c r="F11" s="2" t="s">
        <v>9</v>
      </c>
      <c r="G11" s="3">
        <v>65</v>
      </c>
      <c r="H11" s="15" t="s">
        <v>93</v>
      </c>
      <c r="I11" s="2" t="s">
        <v>94</v>
      </c>
      <c r="J11" s="16">
        <v>44228</v>
      </c>
    </row>
    <row r="12" spans="1:43" ht="60" x14ac:dyDescent="0.25">
      <c r="A12" s="17">
        <v>93701</v>
      </c>
      <c r="B12" s="5" t="s">
        <v>180</v>
      </c>
      <c r="C12" s="29" t="s">
        <v>15</v>
      </c>
      <c r="D12" s="30" t="s">
        <v>182</v>
      </c>
      <c r="E12" s="30" t="s">
        <v>11</v>
      </c>
      <c r="F12" s="30" t="s">
        <v>152</v>
      </c>
      <c r="G12" s="29" t="s">
        <v>153</v>
      </c>
      <c r="H12" s="31" t="s">
        <v>93</v>
      </c>
      <c r="I12" s="30" t="s">
        <v>114</v>
      </c>
      <c r="J12" s="16">
        <v>44136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60" x14ac:dyDescent="0.25">
      <c r="A13" s="17">
        <v>93700</v>
      </c>
      <c r="B13" s="5" t="s">
        <v>181</v>
      </c>
      <c r="C13" s="29" t="s">
        <v>15</v>
      </c>
      <c r="D13" s="30" t="s">
        <v>151</v>
      </c>
      <c r="E13" s="30" t="s">
        <v>11</v>
      </c>
      <c r="F13" s="30" t="s">
        <v>152</v>
      </c>
      <c r="G13" s="29" t="s">
        <v>153</v>
      </c>
      <c r="H13" s="31" t="s">
        <v>93</v>
      </c>
      <c r="I13" s="30" t="s">
        <v>114</v>
      </c>
      <c r="J13" s="16">
        <v>44136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60" x14ac:dyDescent="0.25">
      <c r="A14" s="20">
        <v>90630</v>
      </c>
      <c r="B14" s="42" t="str">
        <f>HYPERLINK("https://fingertips.phe.org.uk/profile/public-health-outcomes-framework/data#page/6/gid/1000041/pat/6/par/E12000004/ati/102/are/E06000015/iid/90630/age/199/sex/4","1.01i - Children in low income families (all dependent children under 20)")</f>
        <v>1.01i - Children in low income families (all dependent children under 20)</v>
      </c>
      <c r="C14" s="20">
        <v>2016</v>
      </c>
      <c r="D14" s="22"/>
      <c r="E14" s="22" t="s">
        <v>11</v>
      </c>
      <c r="F14" s="22" t="s">
        <v>25</v>
      </c>
      <c r="G14" s="20" t="s">
        <v>42</v>
      </c>
      <c r="H14" s="23"/>
      <c r="I14" s="22"/>
      <c r="J14" s="24">
        <v>43525</v>
      </c>
    </row>
    <row r="15" spans="1:43" ht="90" x14ac:dyDescent="0.25">
      <c r="A15" s="17">
        <v>90631</v>
      </c>
      <c r="B15" s="5" t="str">
        <f>HYPERLINK("https://fingertips.phe.org.uk/profile/public-health-outcomes-framework/data#page/6/gid/1000041/pat/6/par/E12000004/ati/102/are/E06000015/iid/90631/age/34/sex/4","B02a - School readiness: percentage of children achieving a good level of development at the end of Reception")</f>
        <v>B02a - School readiness: percentage of children achieving a good level of development at the end of Reception</v>
      </c>
      <c r="C15" s="3" t="s">
        <v>15</v>
      </c>
      <c r="D15" s="2"/>
      <c r="E15" s="2" t="s">
        <v>8</v>
      </c>
      <c r="F15" s="2" t="s">
        <v>16</v>
      </c>
      <c r="G15" s="3" t="s">
        <v>17</v>
      </c>
      <c r="H15" s="15" t="s">
        <v>91</v>
      </c>
      <c r="I15" s="2" t="s">
        <v>95</v>
      </c>
      <c r="J15" s="16">
        <v>43862</v>
      </c>
    </row>
    <row r="16" spans="1:43" ht="75" x14ac:dyDescent="0.25">
      <c r="A16" s="17">
        <v>90632</v>
      </c>
      <c r="B16" s="5" t="str">
        <f>HYPERLINK("https://fingertips.phe.org.uk/profile/public-health-outcomes-framework/data#page/6/gid/1000041/pat/6/par/E12000004/ati/102/are/E06000015/iid/90632/age/34/sex/4","B02a - School Readiness: percentage of children with free school meal status achieving a good level of development at the end of Reception")</f>
        <v>B02a - School Readiness: percentage of children with free school meal status achieving a good level of development at the end of Reception</v>
      </c>
      <c r="C16" s="3" t="s">
        <v>15</v>
      </c>
      <c r="D16" s="2"/>
      <c r="E16" s="2" t="s">
        <v>8</v>
      </c>
      <c r="F16" s="2" t="s">
        <v>18</v>
      </c>
      <c r="G16" s="3" t="s">
        <v>17</v>
      </c>
      <c r="H16" s="15" t="s">
        <v>91</v>
      </c>
      <c r="I16" s="2" t="s">
        <v>95</v>
      </c>
      <c r="J16" s="16">
        <v>43862</v>
      </c>
    </row>
    <row r="17" spans="1:10" ht="105" x14ac:dyDescent="0.25">
      <c r="A17" s="17">
        <v>90633</v>
      </c>
      <c r="B17" s="5" t="str">
        <f>HYPERLINK("https://fingertips.phe.org.uk/profile/public-health-outcomes-framework/data#page/6/gid/1000041/pat/6/par/E12000004/ati/102/are/E06000015/iid/90633/age/35/sex/4","B02b - School readiness: percentage of children achieving the expected level in the phonics screening check in Year 1")</f>
        <v>B02b - School readiness: percentage of children achieving the expected level in the phonics screening check in Year 1</v>
      </c>
      <c r="C17" s="3" t="s">
        <v>15</v>
      </c>
      <c r="D17" s="2"/>
      <c r="E17" s="2" t="s">
        <v>8</v>
      </c>
      <c r="F17" s="2" t="s">
        <v>19</v>
      </c>
      <c r="G17" s="3" t="s">
        <v>20</v>
      </c>
      <c r="H17" s="15" t="s">
        <v>91</v>
      </c>
      <c r="I17" s="2" t="s">
        <v>95</v>
      </c>
      <c r="J17" s="16">
        <v>43862</v>
      </c>
    </row>
    <row r="18" spans="1:10" ht="73.5" customHeight="1" x14ac:dyDescent="0.25">
      <c r="A18" s="17">
        <v>90634</v>
      </c>
      <c r="B18" s="5" t="str">
        <f>HYPERLINK("https://fingertips.phe.org.uk/profile/public-health-outcomes-framework/data#page/6/gid/1000041/pat/6/par/E12000004/ati/102/are/E06000015/iid/90634/age/35/sex/4","B02b - School readiness: percentage of children with free school meal status achieving the expected level in the phonics screening check in Year 1")</f>
        <v>B02b - School readiness: percentage of children with free school meal status achieving the expected level in the phonics screening check in Year 1</v>
      </c>
      <c r="C18" s="3" t="s">
        <v>15</v>
      </c>
      <c r="D18" s="2"/>
      <c r="E18" s="2" t="s">
        <v>8</v>
      </c>
      <c r="F18" s="2" t="s">
        <v>21</v>
      </c>
      <c r="G18" s="3" t="s">
        <v>20</v>
      </c>
      <c r="H18" s="15" t="s">
        <v>91</v>
      </c>
      <c r="I18" s="2" t="s">
        <v>95</v>
      </c>
      <c r="J18" s="16">
        <v>43862</v>
      </c>
    </row>
    <row r="19" spans="1:10" ht="73.5" customHeight="1" x14ac:dyDescent="0.25">
      <c r="A19" s="17">
        <v>93494</v>
      </c>
      <c r="B19" s="5" t="str">
        <f>HYPERLINK("https://fingertips.phe.org.uk/profile/public-health-outcomes-framework/data#page/6/gid/1000041/pat/6/par/E12000004/ati/102/are/E06000015/iid/93494/age/34/sex/4","B02c - School readiness: percentage of children achieving at least the expected level in communication and language skills at the end of Reception")</f>
        <v>B02c - School readiness: percentage of children achieving at least the expected level in communication and language skills at the end of Reception</v>
      </c>
      <c r="C19" s="3" t="s">
        <v>15</v>
      </c>
      <c r="D19" s="2"/>
      <c r="E19" s="2" t="s">
        <v>8</v>
      </c>
      <c r="F19" s="2" t="s">
        <v>22</v>
      </c>
      <c r="G19" s="3" t="s">
        <v>17</v>
      </c>
      <c r="H19" s="15" t="s">
        <v>91</v>
      </c>
      <c r="I19" s="2" t="s">
        <v>95</v>
      </c>
      <c r="J19" s="16">
        <v>43862</v>
      </c>
    </row>
    <row r="20" spans="1:10" ht="77.25" customHeight="1" x14ac:dyDescent="0.25">
      <c r="A20" s="17">
        <v>93569</v>
      </c>
      <c r="B20" s="5" t="str">
        <f>HYPERLINK("https://fingertips.phe.org.uk/profile/public-health-outcomes-framework/data#page/6/gid/1000041/pat/6/par/E12000004/ati/102/are/E06000015/iid/93569/age/34/sex/4","B02d - School readiness: percentage of children achieving at least the expected level of development in communication, language and literacy skills at the end of Reception")</f>
        <v>B02d - School readiness: percentage of children achieving at least the expected level of development in communication, language and literacy skills at the end of Reception</v>
      </c>
      <c r="C20" s="3" t="s">
        <v>15</v>
      </c>
      <c r="D20" s="2"/>
      <c r="E20" s="2" t="s">
        <v>8</v>
      </c>
      <c r="F20" s="2" t="s">
        <v>12</v>
      </c>
      <c r="G20" s="3" t="s">
        <v>17</v>
      </c>
      <c r="H20" s="15" t="s">
        <v>91</v>
      </c>
      <c r="I20" s="2" t="s">
        <v>95</v>
      </c>
      <c r="J20" s="16">
        <v>43862</v>
      </c>
    </row>
    <row r="21" spans="1:10" ht="60" x14ac:dyDescent="0.25">
      <c r="A21" s="17">
        <v>10301</v>
      </c>
      <c r="B21" s="5" t="str">
        <f>HYPERLINK("https://fingertips.phe.org.uk/profile/public-health-outcomes-framework/data#page/6/gid/1000041/pat/6/par/E12000004/ati/102/are/E06000015/iid/10301/age/193/sex/4","B03 - Pupil absence")</f>
        <v>B03 - Pupil absence</v>
      </c>
      <c r="C21" s="3" t="s">
        <v>15</v>
      </c>
      <c r="D21" s="2"/>
      <c r="E21" s="2" t="s">
        <v>11</v>
      </c>
      <c r="F21" s="2" t="s">
        <v>21</v>
      </c>
      <c r="G21" s="3" t="s">
        <v>24</v>
      </c>
      <c r="H21" s="15" t="s">
        <v>91</v>
      </c>
      <c r="I21" s="2" t="s">
        <v>95</v>
      </c>
      <c r="J21" s="16">
        <v>44044</v>
      </c>
    </row>
    <row r="22" spans="1:10" ht="45" x14ac:dyDescent="0.25">
      <c r="A22" s="17">
        <v>10401</v>
      </c>
      <c r="B22" s="5" t="str">
        <f>HYPERLINK("https://fingertips.phe.org.uk/profile/public-health-outcomes-framework/data#page/6/gid/1000041/pat/6/par/E12000004/ati/102/are/E06000015/iid/10401/age/211/sex/4","B04 - First time entrants to the youth justice system")</f>
        <v>B04 - First time entrants to the youth justice system</v>
      </c>
      <c r="C22" s="3">
        <v>2018</v>
      </c>
      <c r="D22" s="2"/>
      <c r="E22" s="2" t="s">
        <v>8</v>
      </c>
      <c r="F22" s="2" t="s">
        <v>25</v>
      </c>
      <c r="G22" s="3" t="s">
        <v>26</v>
      </c>
      <c r="H22" s="15" t="s">
        <v>91</v>
      </c>
      <c r="I22" s="2" t="s">
        <v>96</v>
      </c>
      <c r="J22" s="16">
        <v>43678</v>
      </c>
    </row>
    <row r="23" spans="1:10" ht="60" x14ac:dyDescent="0.25">
      <c r="A23" s="17">
        <v>93203</v>
      </c>
      <c r="B23" s="5" t="str">
        <f>HYPERLINK("https://fingertips.phe.org.uk/profile/public-health-outcomes-framework/data#page/6/gid/1000041/pat/6/par/E12000004/ati/102/are/E06000015/iid/93203/age/174/sex/4","B05 - 16-17 year olds not in education, employment or training (NEET) or whose activity is not known")</f>
        <v>B05 - 16-17 year olds not in education, employment or training (NEET) or whose activity is not known</v>
      </c>
      <c r="C23" s="3">
        <v>2019</v>
      </c>
      <c r="D23" s="2"/>
      <c r="E23" s="2" t="s">
        <v>8</v>
      </c>
      <c r="F23" s="2" t="s">
        <v>27</v>
      </c>
      <c r="G23" s="3" t="s">
        <v>28</v>
      </c>
      <c r="H23" s="15" t="s">
        <v>91</v>
      </c>
      <c r="I23" s="2" t="s">
        <v>95</v>
      </c>
      <c r="J23" s="16">
        <v>44228</v>
      </c>
    </row>
    <row r="24" spans="1:10" ht="45" x14ac:dyDescent="0.25">
      <c r="A24" s="17">
        <v>10601</v>
      </c>
      <c r="B24" s="5" t="str">
        <f>HYPERLINK("https://fingertips.phe.org.uk/profile/public-health-outcomes-framework/data#page/6/gid/1000041/pat/6/par/E12000004/ati/102/are/E06000015/iid/10601/age/183/sex/4","B06a - Adults with a learning disability who live in stable and appropriate accommodation")</f>
        <v>B06a - Adults with a learning disability who live in stable and appropriate accommodation</v>
      </c>
      <c r="C24" s="3" t="s">
        <v>143</v>
      </c>
      <c r="D24" s="2"/>
      <c r="E24" s="2" t="s">
        <v>8</v>
      </c>
      <c r="F24" s="2" t="s">
        <v>12</v>
      </c>
      <c r="G24" s="3" t="s">
        <v>29</v>
      </c>
      <c r="H24" s="15" t="s">
        <v>91</v>
      </c>
      <c r="I24" s="2" t="s">
        <v>97</v>
      </c>
      <c r="J24" s="16">
        <v>44228</v>
      </c>
    </row>
    <row r="25" spans="1:10" ht="45" x14ac:dyDescent="0.25">
      <c r="A25" s="17">
        <v>10602</v>
      </c>
      <c r="B25" s="5" t="str">
        <f>HYPERLINK("https://fingertips.phe.org.uk/profile/public-health-outcomes-framework/data#page/6/gid/1000041/pat/6/par/E12000004/ati/102/are/E06000015/iid/10602/age/208/sex/4","B06b - Adults in contact with secondary mental health services who live in stable and appropriate accommodation")</f>
        <v>B06b - Adults in contact with secondary mental health services who live in stable and appropriate accommodation</v>
      </c>
      <c r="C25" s="3" t="s">
        <v>143</v>
      </c>
      <c r="D25" s="2"/>
      <c r="E25" s="2" t="s">
        <v>8</v>
      </c>
      <c r="F25" s="2" t="s">
        <v>12</v>
      </c>
      <c r="G25" s="3" t="s">
        <v>30</v>
      </c>
      <c r="H25" s="15" t="s">
        <v>91</v>
      </c>
      <c r="I25" s="2" t="s">
        <v>97</v>
      </c>
      <c r="J25" s="16">
        <v>44228</v>
      </c>
    </row>
    <row r="26" spans="1:10" ht="45" x14ac:dyDescent="0.25">
      <c r="A26" s="17">
        <v>92644</v>
      </c>
      <c r="B26" s="5" t="str">
        <f>HYPERLINK("https://fingertips.phe.org.uk/profile/public-health-outcomes-framework/data#page/6/gid/1000041/pat/6/par/E12000004/ati/102/are/E06000015/iid/92644/age/168/sex/4","B07 - People in prison who have a mental illness or a significant mental illness")</f>
        <v>B07 - People in prison who have a mental illness or a significant mental illness</v>
      </c>
      <c r="C26" s="3" t="s">
        <v>15</v>
      </c>
      <c r="D26" s="2"/>
      <c r="E26" s="2" t="s">
        <v>13</v>
      </c>
      <c r="F26" s="2" t="s">
        <v>31</v>
      </c>
      <c r="G26" s="3" t="s">
        <v>32</v>
      </c>
      <c r="H26" s="15" t="s">
        <v>93</v>
      </c>
      <c r="I26" s="2" t="s">
        <v>98</v>
      </c>
      <c r="J26" s="16">
        <v>43678</v>
      </c>
    </row>
    <row r="27" spans="1:10" ht="60" x14ac:dyDescent="0.25">
      <c r="A27" s="17">
        <v>90282</v>
      </c>
      <c r="B27" s="5" t="str">
        <f>HYPERLINK("https://fingertips.phe.org.uk/profile/public-health-outcomes-framework/data#page/6/gid/1000041/pat/6/par/E12000004/ati/102/are/E06000015/iid/90282/age/204/sex/4","B08a - Gap in the employment rate between those with a long-term health condition and the overall employment rate")</f>
        <v>B08a - Gap in the employment rate between those with a long-term health condition and the overall employment rate</v>
      </c>
      <c r="C27" s="3" t="s">
        <v>143</v>
      </c>
      <c r="D27" s="2"/>
      <c r="E27" s="2" t="s">
        <v>11</v>
      </c>
      <c r="F27" s="2" t="s">
        <v>25</v>
      </c>
      <c r="G27" s="3" t="s">
        <v>33</v>
      </c>
      <c r="H27" s="15" t="s">
        <v>93</v>
      </c>
      <c r="I27" s="2" t="s">
        <v>99</v>
      </c>
      <c r="J27" s="16">
        <v>44136</v>
      </c>
    </row>
    <row r="28" spans="1:10" ht="60" x14ac:dyDescent="0.25">
      <c r="A28" s="17">
        <v>90283</v>
      </c>
      <c r="B28" s="5" t="str">
        <f>HYPERLINK("https://fingertips.phe.org.uk/profile/public-health-outcomes-framework/data#page/6/gid/1000041/pat/6/par/E12000004/ati/102/are/E06000015/iid/90283/age/183/sex/4","B08b - Gap in the employment rate between those with a learning disability and the overall employment rate")</f>
        <v>B08b - Gap in the employment rate between those with a learning disability and the overall employment rate</v>
      </c>
      <c r="C28" s="3" t="s">
        <v>143</v>
      </c>
      <c r="D28" s="2"/>
      <c r="E28" s="2" t="s">
        <v>8</v>
      </c>
      <c r="F28" s="2" t="s">
        <v>12</v>
      </c>
      <c r="G28" s="3" t="s">
        <v>29</v>
      </c>
      <c r="H28" s="15" t="s">
        <v>93</v>
      </c>
      <c r="I28" s="2" t="s">
        <v>100</v>
      </c>
      <c r="J28" s="16">
        <v>44228</v>
      </c>
    </row>
    <row r="29" spans="1:10" ht="60" x14ac:dyDescent="0.25">
      <c r="A29" s="17">
        <v>90635</v>
      </c>
      <c r="B29" s="5" t="str">
        <f>HYPERLINK("https://fingertips.phe.org.uk/profile/public-health-outcomes-framework/data#page/6/gid/1000041/pat/6/par/E12000004/ati/102/are/E06000015/iid/90635/age/208/sex/4","B08c - Gap in the employment rate for those in contact with secondary mental health services and the overall employment rate")</f>
        <v>B08c - Gap in the employment rate for those in contact with secondary mental health services and the overall employment rate</v>
      </c>
      <c r="C29" s="3" t="s">
        <v>143</v>
      </c>
      <c r="D29" s="2"/>
      <c r="E29" s="2" t="s">
        <v>8</v>
      </c>
      <c r="F29" s="2" t="s">
        <v>12</v>
      </c>
      <c r="G29" s="3" t="s">
        <v>30</v>
      </c>
      <c r="H29" s="15" t="s">
        <v>93</v>
      </c>
      <c r="I29" s="2" t="s">
        <v>100</v>
      </c>
      <c r="J29" s="16">
        <v>44228</v>
      </c>
    </row>
    <row r="30" spans="1:10" ht="60" x14ac:dyDescent="0.25">
      <c r="A30" s="17">
        <v>92313</v>
      </c>
      <c r="B30" s="5" t="str">
        <f>HYPERLINK("https://fingertips.phe.org.uk/profile/public-health-outcomes-framework/data#page/6/gid/1000041/pat/6/par/E12000004/ati/102/are/E06000015/iid/92313/age/204/sex/4","B08d - Percentage of people aged 16-64 in employment")</f>
        <v>B08d - Percentage of people aged 16-64 in employment</v>
      </c>
      <c r="C30" s="3" t="s">
        <v>143</v>
      </c>
      <c r="D30" s="2"/>
      <c r="E30" s="2" t="s">
        <v>11</v>
      </c>
      <c r="F30" s="2" t="s">
        <v>34</v>
      </c>
      <c r="G30" s="3" t="s">
        <v>33</v>
      </c>
      <c r="H30" s="15" t="s">
        <v>91</v>
      </c>
      <c r="I30" s="2" t="s">
        <v>101</v>
      </c>
      <c r="J30" s="16">
        <v>44136</v>
      </c>
    </row>
    <row r="31" spans="1:10" ht="60" x14ac:dyDescent="0.25">
      <c r="A31" s="17">
        <v>90286</v>
      </c>
      <c r="B31" s="5" t="str">
        <f>HYPERLINK("https://fingertips.phe.org.uk/profile/public-health-outcomes-framework/data#page/6/gid/1000041/pat/6/par/E12000004/ati/102/are/E06000015/iid/90286/age/164/sex/4","B09a - Sickness absence - the percentage of employees who had at least one day off in the previous week")</f>
        <v>B09a - Sickness absence - the percentage of employees who had at least one day off in the previous week</v>
      </c>
      <c r="C31" s="3" t="s">
        <v>154</v>
      </c>
      <c r="D31" s="2"/>
      <c r="E31" s="2" t="s">
        <v>11</v>
      </c>
      <c r="F31" s="2" t="s">
        <v>25</v>
      </c>
      <c r="G31" s="3" t="s">
        <v>35</v>
      </c>
      <c r="H31" s="15" t="s">
        <v>93</v>
      </c>
      <c r="I31" s="2" t="s">
        <v>102</v>
      </c>
      <c r="J31" s="16">
        <v>44136</v>
      </c>
    </row>
    <row r="32" spans="1:10" ht="60" x14ac:dyDescent="0.25">
      <c r="A32" s="17">
        <v>90287</v>
      </c>
      <c r="B32" s="5" t="str">
        <f>HYPERLINK("https://fingertips.phe.org.uk/profile/public-health-outcomes-framework/data#page/6/gid/1000041/pat/6/par/E12000004/ati/102/are/E06000015/iid/90287/age/164/sex/4","B09b - Sickness absence - the percentage of working days lost due to sickness absence")</f>
        <v>B09b - Sickness absence - the percentage of working days lost due to sickness absence</v>
      </c>
      <c r="C32" s="3" t="s">
        <v>154</v>
      </c>
      <c r="D32" s="2"/>
      <c r="E32" s="2" t="s">
        <v>11</v>
      </c>
      <c r="F32" s="2" t="s">
        <v>25</v>
      </c>
      <c r="G32" s="3" t="s">
        <v>35</v>
      </c>
      <c r="H32" s="15" t="s">
        <v>93</v>
      </c>
      <c r="I32" s="2" t="s">
        <v>102</v>
      </c>
      <c r="J32" s="16">
        <v>44136</v>
      </c>
    </row>
    <row r="33" spans="1:10" ht="38.25" customHeight="1" x14ac:dyDescent="0.25">
      <c r="A33" s="20" t="s">
        <v>131</v>
      </c>
      <c r="B33" s="21" t="s">
        <v>130</v>
      </c>
      <c r="C33" s="20"/>
      <c r="D33" s="22" t="s">
        <v>183</v>
      </c>
      <c r="E33" s="22"/>
      <c r="F33" s="22"/>
      <c r="G33" s="20"/>
      <c r="H33" s="23"/>
      <c r="I33" s="22"/>
      <c r="J33" s="24"/>
    </row>
    <row r="34" spans="1:10" ht="60" x14ac:dyDescent="0.25">
      <c r="A34" s="17">
        <v>11001</v>
      </c>
      <c r="B34" s="5" t="str">
        <f>HYPERLINK("https://fingertips.phe.org.uk/profile/public-health-outcomes-framework/data#page/6/gid/1000041/pat/6/par/E12000004/ati/102/are/E06000015/iid/11001/age/1/sex/4","1.10 - Killed and seriously injured (KSI) casualties on England's roads")</f>
        <v>1.10 - Killed and seriously injured (KSI) casualties on England's roads</v>
      </c>
      <c r="C34" s="3" t="s">
        <v>173</v>
      </c>
      <c r="D34" s="2"/>
      <c r="E34" s="2" t="s">
        <v>11</v>
      </c>
      <c r="F34" s="2" t="s">
        <v>25</v>
      </c>
      <c r="G34" s="3" t="s">
        <v>10</v>
      </c>
      <c r="H34" s="15" t="s">
        <v>93</v>
      </c>
      <c r="I34" s="2" t="s">
        <v>110</v>
      </c>
      <c r="J34" s="16">
        <v>43862</v>
      </c>
    </row>
    <row r="35" spans="1:10" ht="45" x14ac:dyDescent="0.25">
      <c r="A35" s="17">
        <v>92863</v>
      </c>
      <c r="B35" s="5" t="str">
        <f>HYPERLINK("https://fingertips.phe.org.uk/profile/public-health-outcomes-framework/data#page/6/gid/1000041/pat/6/par/E12000004/ati/102/are/E06000015/iid/92863/age/164/sex/4","B11 - Domestic abuse-related incidents and crimes")</f>
        <v>B11 - Domestic abuse-related incidents and crimes</v>
      </c>
      <c r="C35" s="3" t="s">
        <v>143</v>
      </c>
      <c r="D35" s="2"/>
      <c r="E35" s="2" t="s">
        <v>8</v>
      </c>
      <c r="F35" s="2" t="s">
        <v>31</v>
      </c>
      <c r="G35" s="3" t="s">
        <v>35</v>
      </c>
      <c r="H35" s="15" t="s">
        <v>93</v>
      </c>
      <c r="I35" s="2" t="s">
        <v>103</v>
      </c>
      <c r="J35" s="16">
        <v>44228</v>
      </c>
    </row>
    <row r="36" spans="1:10" ht="60" x14ac:dyDescent="0.25">
      <c r="A36" s="17">
        <v>11201</v>
      </c>
      <c r="B36" s="5" t="str">
        <f>HYPERLINK("https://fingertips.phe.org.uk/profile/public-health-outcomes-framework/data#page/6/gid/1000041/pat/6/par/E12000004/ati/102/are/E06000015/iid/11201/age/1/sex/4","B12a - Violent crime - hospital admissions for violence (including sexual violence)")</f>
        <v>B12a - Violent crime - hospital admissions for violence (including sexual violence)</v>
      </c>
      <c r="C36" s="3" t="s">
        <v>172</v>
      </c>
      <c r="D36" s="2"/>
      <c r="E36" s="2" t="s">
        <v>11</v>
      </c>
      <c r="F36" s="2" t="s">
        <v>12</v>
      </c>
      <c r="G36" s="3" t="s">
        <v>10</v>
      </c>
      <c r="H36" s="15" t="s">
        <v>93</v>
      </c>
      <c r="I36" s="2" t="s">
        <v>104</v>
      </c>
      <c r="J36" s="16">
        <v>44228</v>
      </c>
    </row>
    <row r="37" spans="1:10" ht="60" x14ac:dyDescent="0.25">
      <c r="A37" s="17">
        <v>11202</v>
      </c>
      <c r="B37" s="5" t="str">
        <f>HYPERLINK("https://fingertips.phe.org.uk/profile/public-health-outcomes-framework/data#page/6/gid/1000041/pat/6/par/E12000004/ati/102/are/E06000015/iid/11202/age/1/sex/4","B12b - Violent crime - violence offences per 1,000 population")</f>
        <v>B12b - Violent crime - violence offences per 1,000 population</v>
      </c>
      <c r="C37" s="3" t="s">
        <v>143</v>
      </c>
      <c r="D37" s="2"/>
      <c r="E37" s="2" t="s">
        <v>11</v>
      </c>
      <c r="F37" s="2" t="s">
        <v>25</v>
      </c>
      <c r="G37" s="3" t="s">
        <v>10</v>
      </c>
      <c r="H37" s="15" t="s">
        <v>93</v>
      </c>
      <c r="I37" s="2" t="s">
        <v>105</v>
      </c>
      <c r="J37" s="16">
        <v>44136</v>
      </c>
    </row>
    <row r="38" spans="1:10" ht="60" x14ac:dyDescent="0.25">
      <c r="A38" s="17">
        <v>90637</v>
      </c>
      <c r="B38" s="5" t="str">
        <f>HYPERLINK("https://fingertips.phe.org.uk/profile/public-health-outcomes-framework/data#page/6/gid/1000041/pat/6/par/E12000004/ati/102/are/E06000015/iid/90637/age/1/sex/4","B12c - Violent crime - sexual offences per 1,000 population")</f>
        <v>B12c - Violent crime - sexual offences per 1,000 population</v>
      </c>
      <c r="C38" s="3" t="s">
        <v>143</v>
      </c>
      <c r="D38" s="2"/>
      <c r="E38" s="2" t="s">
        <v>11</v>
      </c>
      <c r="F38" s="2" t="s">
        <v>25</v>
      </c>
      <c r="G38" s="3" t="s">
        <v>10</v>
      </c>
      <c r="H38" s="15" t="s">
        <v>93</v>
      </c>
      <c r="I38" s="2" t="s">
        <v>105</v>
      </c>
      <c r="J38" s="16">
        <v>44136</v>
      </c>
    </row>
    <row r="39" spans="1:10" ht="60" x14ac:dyDescent="0.25">
      <c r="A39" s="17">
        <v>93513</v>
      </c>
      <c r="B39" s="5" t="str">
        <f>HYPERLINK("https://fingertips.phe.org.uk/profile/public-health-outcomes-framework/data#page/6/gid/1000041/pat/6/par/E12000004/ati/102/are/E06000015/iid/93513/age/1/sex/4","B13a - Re-offending levels - percentage of offenders who re-offend")</f>
        <v>B13a - Re-offending levels - percentage of offenders who re-offend</v>
      </c>
      <c r="C39" s="3" t="s">
        <v>23</v>
      </c>
      <c r="D39" s="2"/>
      <c r="E39" s="2" t="s">
        <v>11</v>
      </c>
      <c r="F39" s="2" t="s">
        <v>25</v>
      </c>
      <c r="G39" s="3" t="s">
        <v>10</v>
      </c>
      <c r="H39" s="15" t="s">
        <v>91</v>
      </c>
      <c r="I39" s="2" t="s">
        <v>96</v>
      </c>
      <c r="J39" s="16">
        <v>43952</v>
      </c>
    </row>
    <row r="40" spans="1:10" ht="60" x14ac:dyDescent="0.25">
      <c r="A40" s="17">
        <v>93572</v>
      </c>
      <c r="B40" s="5" t="str">
        <f>HYPERLINK("https://fingertips.phe.org.uk/profile/public-health-outcomes-framework/data#page/6/gid/1000041/pat/6/par/E12000004/ati/102/are/E06000015/iid/93572/age/1/sex/4","B13b - Re-offending levels - average number of re-offences per re-offender")</f>
        <v>B13b - Re-offending levels - average number of re-offences per re-offender</v>
      </c>
      <c r="C40" s="29" t="s">
        <v>23</v>
      </c>
      <c r="D40" s="30"/>
      <c r="E40" s="30" t="s">
        <v>11</v>
      </c>
      <c r="F40" s="30" t="s">
        <v>25</v>
      </c>
      <c r="G40" s="29" t="s">
        <v>10</v>
      </c>
      <c r="H40" s="31"/>
      <c r="I40" s="2" t="s">
        <v>106</v>
      </c>
      <c r="J40" s="16">
        <v>43952</v>
      </c>
    </row>
    <row r="41" spans="1:10" ht="45" x14ac:dyDescent="0.25">
      <c r="A41" s="17">
        <v>92456</v>
      </c>
      <c r="B41" s="5" t="str">
        <f>HYPERLINK("https://fingertips.phe.org.uk/profile/public-health-outcomes-framework/data#page/6/gid/1000041/pat/6/par/E12000004/ati/102/are/E06000015/iid/92456/age/285/sex/4","B13c - First time offenders")</f>
        <v>B13c - First time offenders</v>
      </c>
      <c r="C41" s="3">
        <v>2018</v>
      </c>
      <c r="D41" s="2"/>
      <c r="E41" s="2" t="s">
        <v>8</v>
      </c>
      <c r="F41" s="2" t="s">
        <v>25</v>
      </c>
      <c r="G41" s="3" t="s">
        <v>36</v>
      </c>
      <c r="H41" s="15" t="s">
        <v>93</v>
      </c>
      <c r="I41" s="2" t="s">
        <v>106</v>
      </c>
      <c r="J41" s="16">
        <v>43770</v>
      </c>
    </row>
    <row r="42" spans="1:10" ht="60" x14ac:dyDescent="0.25">
      <c r="A42" s="17">
        <v>11401</v>
      </c>
      <c r="B42" s="5" t="str">
        <f>HYPERLINK("https://fingertips.phe.org.uk/profile/public-health-outcomes-framework/data#page/6/gid/1000041/pat/6/par/E12000004/ati/102/are/E06000015/iid/11401/age/1/sex/4","B14a - The rate of complaints about noise")</f>
        <v>B14a - The rate of complaints about noise</v>
      </c>
      <c r="C42" s="3" t="s">
        <v>15</v>
      </c>
      <c r="D42" s="2"/>
      <c r="E42" s="2" t="s">
        <v>11</v>
      </c>
      <c r="F42" s="2" t="s">
        <v>25</v>
      </c>
      <c r="G42" s="3" t="s">
        <v>10</v>
      </c>
      <c r="H42" s="15" t="s">
        <v>93</v>
      </c>
      <c r="I42" s="2" t="s">
        <v>114</v>
      </c>
      <c r="J42" s="16">
        <v>43952</v>
      </c>
    </row>
    <row r="43" spans="1:10" ht="45" x14ac:dyDescent="0.25">
      <c r="A43" s="17">
        <v>90357</v>
      </c>
      <c r="B43" s="5" t="str">
        <f>HYPERLINK("https://fingertips.phe.org.uk/profile/public-health-outcomes-framework/data#page/6/gid/1000041/pat/6/par/E12000004/ati/102/are/E06000015/iid/90357/age/1/sex/4","B14b - The percentage of the population exposed to road, rail and air transport noise of 65dB(A) or more, during the daytime")</f>
        <v>B14b - The percentage of the population exposed to road, rail and air transport noise of 65dB(A) or more, during the daytime</v>
      </c>
      <c r="C43" s="3">
        <v>2016</v>
      </c>
      <c r="D43" s="2"/>
      <c r="E43" s="2" t="s">
        <v>8</v>
      </c>
      <c r="F43" s="2" t="s">
        <v>25</v>
      </c>
      <c r="G43" s="3" t="s">
        <v>10</v>
      </c>
      <c r="H43" s="15" t="s">
        <v>93</v>
      </c>
      <c r="I43" s="2" t="s">
        <v>107</v>
      </c>
      <c r="J43" s="16">
        <v>43586</v>
      </c>
    </row>
    <row r="44" spans="1:10" ht="45" x14ac:dyDescent="0.25">
      <c r="A44" s="17">
        <v>90358</v>
      </c>
      <c r="B44" s="5" t="str">
        <f>HYPERLINK("https://fingertips.phe.org.uk/profile/public-health-outcomes-framework/data#page/6/gid/1000041/pat/6/par/E12000004/ati/102/are/E06000015/iid/90358/age/1/sex/4","B14c - The percentage of the population exposed to road, rail and air transport noise of 55 dB(A) or more during the night-time")</f>
        <v>B14c - The percentage of the population exposed to road, rail and air transport noise of 55 dB(A) or more during the night-time</v>
      </c>
      <c r="C44" s="3">
        <v>2016</v>
      </c>
      <c r="D44" s="2"/>
      <c r="E44" s="2" t="s">
        <v>8</v>
      </c>
      <c r="F44" s="2" t="s">
        <v>25</v>
      </c>
      <c r="G44" s="3" t="s">
        <v>10</v>
      </c>
      <c r="H44" s="15" t="s">
        <v>93</v>
      </c>
      <c r="I44" s="2" t="s">
        <v>107</v>
      </c>
      <c r="J44" s="16">
        <v>43586</v>
      </c>
    </row>
    <row r="45" spans="1:10" ht="60" x14ac:dyDescent="0.25">
      <c r="A45" s="17">
        <v>93736</v>
      </c>
      <c r="B45" s="5" t="str">
        <f>HYPERLINK("https://fingertips.phe.org.uk/profile/public-health-outcomes-framework/data#page/6/gid/1000041/pat/6/par/E12000004/ati/102/are/E06000015/iid/93736/age/-1/sex/-1","B15a - Homelessness - households owed a duty under the Homelessness Reduction Act")</f>
        <v>B15a - Homelessness - households owed a duty under the Homelessness Reduction Act</v>
      </c>
      <c r="C45" s="3" t="s">
        <v>143</v>
      </c>
      <c r="D45" s="2" t="s">
        <v>184</v>
      </c>
      <c r="E45" s="2" t="s">
        <v>11</v>
      </c>
      <c r="F45" s="2" t="s">
        <v>152</v>
      </c>
      <c r="G45" s="3" t="s">
        <v>39</v>
      </c>
      <c r="H45" s="15" t="s">
        <v>93</v>
      </c>
      <c r="I45" s="2" t="s">
        <v>167</v>
      </c>
      <c r="J45" s="16">
        <v>44228</v>
      </c>
    </row>
    <row r="46" spans="1:10" ht="47.25" customHeight="1" x14ac:dyDescent="0.25">
      <c r="A46" s="25" t="s">
        <v>129</v>
      </c>
      <c r="B46" s="21" t="s">
        <v>132</v>
      </c>
      <c r="C46" s="25"/>
      <c r="D46" s="26" t="s">
        <v>163</v>
      </c>
      <c r="E46" s="26"/>
      <c r="F46" s="26"/>
      <c r="G46" s="25"/>
      <c r="H46" s="27"/>
      <c r="I46" s="26"/>
      <c r="J46" s="28"/>
    </row>
    <row r="47" spans="1:10" s="36" customFormat="1" ht="60" x14ac:dyDescent="0.25">
      <c r="A47" s="17">
        <v>93735</v>
      </c>
      <c r="B47" s="44" t="str">
        <f>HYPERLINK("https://fingertips.phe.org.uk/profile/public-health-outcomes-framework/data#page/6/gid/1000041/pat/6/par/E12000004/ati/102/are/E06000015/iid/93735/age/-1/sex/-1","B15c - Homelessness - households in temporary accommodation")</f>
        <v>B15c - Homelessness - households in temporary accommodation</v>
      </c>
      <c r="C47" s="38" t="s">
        <v>143</v>
      </c>
      <c r="D47" s="39" t="s">
        <v>185</v>
      </c>
      <c r="E47" s="39" t="s">
        <v>11</v>
      </c>
      <c r="F47" s="39" t="s">
        <v>179</v>
      </c>
      <c r="G47" s="38" t="s">
        <v>39</v>
      </c>
      <c r="H47" s="40" t="s">
        <v>91</v>
      </c>
      <c r="I47" s="30" t="s">
        <v>126</v>
      </c>
      <c r="J47" s="41">
        <v>44228</v>
      </c>
    </row>
    <row r="48" spans="1:10" ht="45" x14ac:dyDescent="0.25">
      <c r="A48" s="17">
        <v>11601</v>
      </c>
      <c r="B48" s="5" t="str">
        <f>HYPERLINK("https://fingertips.phe.org.uk/profile/public-health-outcomes-framework/data#page/6/gid/1000041/pat/6/par/E12000004/ati/102/are/E06000015/iid/11601/age/164/sex/4","B16 - Utilisation of outdoor space for exercise/health reasons")</f>
        <v>B16 - Utilisation of outdoor space for exercise/health reasons</v>
      </c>
      <c r="C48" s="3" t="s">
        <v>175</v>
      </c>
      <c r="D48" s="2"/>
      <c r="E48" s="2" t="s">
        <v>8</v>
      </c>
      <c r="F48" s="2" t="s">
        <v>31</v>
      </c>
      <c r="G48" s="3" t="s">
        <v>35</v>
      </c>
      <c r="H48" s="15" t="s">
        <v>93</v>
      </c>
      <c r="I48" s="2" t="s">
        <v>125</v>
      </c>
      <c r="J48" s="16">
        <v>42856</v>
      </c>
    </row>
    <row r="49" spans="1:10" ht="135" x14ac:dyDescent="0.25">
      <c r="A49" s="17">
        <v>90356</v>
      </c>
      <c r="B49" s="5" t="str">
        <f>HYPERLINK("https://fingertips.phe.org.uk/profile/public-health-outcomes-framework/data#page/6/gid/1000041/pat/6/par/E12000004/ati/102/are/E06000015/iid/90356/age/-1/sex/-1","B17 - Fuel poverty")</f>
        <v>B17 - Fuel poverty</v>
      </c>
      <c r="C49" s="3">
        <v>2018</v>
      </c>
      <c r="D49" s="2"/>
      <c r="E49" s="2" t="s">
        <v>11</v>
      </c>
      <c r="F49" s="2" t="s">
        <v>38</v>
      </c>
      <c r="G49" s="3" t="s">
        <v>39</v>
      </c>
      <c r="H49" s="15" t="s">
        <v>91</v>
      </c>
      <c r="I49" s="2" t="s">
        <v>108</v>
      </c>
      <c r="J49" s="16">
        <v>44044</v>
      </c>
    </row>
    <row r="50" spans="1:10" ht="150" x14ac:dyDescent="0.25">
      <c r="A50" s="17">
        <v>90280</v>
      </c>
      <c r="B50" s="5" t="str">
        <f>HYPERLINK("https://fingertips.phe.org.uk/profile/public-health-outcomes-framework/data#page/6/gid/1000041/pat/6/par/E12000004/ati/102/are/E06000015/iid/90280/age/168/sex/4","B18a - Social Isolation: percentage of adult social care users who have as much social contact as they would like")</f>
        <v>B18a - Social Isolation: percentage of adult social care users who have as much social contact as they would like</v>
      </c>
      <c r="C50" s="3" t="s">
        <v>143</v>
      </c>
      <c r="D50" s="2"/>
      <c r="E50" s="2" t="s">
        <v>8</v>
      </c>
      <c r="F50" s="2" t="s">
        <v>40</v>
      </c>
      <c r="G50" s="3" t="s">
        <v>32</v>
      </c>
      <c r="H50" s="15" t="s">
        <v>91</v>
      </c>
      <c r="I50" s="2" t="s">
        <v>109</v>
      </c>
      <c r="J50" s="16">
        <v>44228</v>
      </c>
    </row>
    <row r="51" spans="1:10" ht="105" x14ac:dyDescent="0.25">
      <c r="A51" s="17">
        <v>90638</v>
      </c>
      <c r="B51" s="5" t="str">
        <f>HYPERLINK("https://fingertips.phe.org.uk/profile/public-health-outcomes-framework/data#page/6/gid/1000041/pat/6/par/E12000004/ati/102/are/E06000015/iid/90638/age/168/sex/4","B18b - Social Isolation: percentage of adult carers who have as much social contact as they would like")</f>
        <v>B18b - Social Isolation: percentage of adult carers who have as much social contact as they would like</v>
      </c>
      <c r="C51" s="3" t="s">
        <v>15</v>
      </c>
      <c r="D51" s="2"/>
      <c r="E51" s="2" t="s">
        <v>8</v>
      </c>
      <c r="F51" s="2" t="s">
        <v>41</v>
      </c>
      <c r="G51" s="3" t="s">
        <v>32</v>
      </c>
      <c r="H51" s="15" t="s">
        <v>91</v>
      </c>
      <c r="I51" s="2" t="s">
        <v>109</v>
      </c>
      <c r="J51" s="16">
        <v>43831</v>
      </c>
    </row>
    <row r="52" spans="1:10" x14ac:dyDescent="0.25">
      <c r="A52" s="25" t="s">
        <v>129</v>
      </c>
      <c r="B52" s="21" t="s">
        <v>133</v>
      </c>
      <c r="C52" s="25"/>
      <c r="D52" s="26" t="s">
        <v>163</v>
      </c>
      <c r="E52" s="26"/>
      <c r="F52" s="26"/>
      <c r="G52" s="25"/>
      <c r="H52" s="27"/>
      <c r="I52" s="26"/>
      <c r="J52" s="28"/>
    </row>
    <row r="53" spans="1:10" x14ac:dyDescent="0.25">
      <c r="A53" s="25" t="s">
        <v>129</v>
      </c>
      <c r="B53" s="21" t="s">
        <v>134</v>
      </c>
      <c r="C53" s="25"/>
      <c r="D53" s="26" t="s">
        <v>163</v>
      </c>
      <c r="E53" s="26"/>
      <c r="F53" s="26"/>
      <c r="G53" s="25"/>
      <c r="H53" s="27"/>
      <c r="I53" s="26"/>
      <c r="J53" s="28"/>
    </row>
    <row r="54" spans="1:10" x14ac:dyDescent="0.25">
      <c r="A54" s="25" t="s">
        <v>129</v>
      </c>
      <c r="B54" s="21" t="s">
        <v>135</v>
      </c>
      <c r="C54" s="25"/>
      <c r="D54" s="26" t="s">
        <v>163</v>
      </c>
      <c r="E54" s="26"/>
      <c r="F54" s="26"/>
      <c r="G54" s="25"/>
      <c r="H54" s="27"/>
      <c r="I54" s="26"/>
      <c r="J54" s="28"/>
    </row>
    <row r="55" spans="1:10" x14ac:dyDescent="0.25">
      <c r="A55" s="25" t="s">
        <v>129</v>
      </c>
      <c r="B55" s="21" t="s">
        <v>136</v>
      </c>
      <c r="C55" s="25"/>
      <c r="D55" s="26" t="s">
        <v>163</v>
      </c>
      <c r="E55" s="26"/>
      <c r="F55" s="26"/>
      <c r="G55" s="25"/>
      <c r="H55" s="27"/>
      <c r="I55" s="26"/>
      <c r="J55" s="28"/>
    </row>
    <row r="56" spans="1:10" x14ac:dyDescent="0.25">
      <c r="A56" s="25" t="s">
        <v>129</v>
      </c>
      <c r="B56" s="21" t="s">
        <v>137</v>
      </c>
      <c r="C56" s="25"/>
      <c r="D56" s="26" t="s">
        <v>163</v>
      </c>
      <c r="E56" s="26"/>
      <c r="F56" s="26"/>
      <c r="G56" s="25"/>
      <c r="H56" s="27"/>
      <c r="I56" s="26"/>
      <c r="J56" s="28"/>
    </row>
    <row r="57" spans="1:10" ht="60" x14ac:dyDescent="0.25">
      <c r="A57" s="17">
        <v>92254</v>
      </c>
      <c r="B57" s="5" t="str">
        <f>HYPERLINK("https://fingertips.phe.org.uk/profile/public-health-outcomes-framework/data#page/6/gid/1000042/pat/6/par/E12000004/ati/102/are/E06000015/iid/92254/age/1/sex/2","C01 - Total prescribed LARC excluding injections rate / 1,000")</f>
        <v>C01 - Total prescribed LARC excluding injections rate / 1,000</v>
      </c>
      <c r="C57" s="3">
        <v>2019</v>
      </c>
      <c r="D57" s="2"/>
      <c r="E57" s="2" t="s">
        <v>11</v>
      </c>
      <c r="F57" s="2" t="s">
        <v>31</v>
      </c>
      <c r="G57" s="3" t="s">
        <v>10</v>
      </c>
      <c r="H57" s="15" t="s">
        <v>93</v>
      </c>
      <c r="I57" s="2" t="s">
        <v>111</v>
      </c>
      <c r="J57" s="16">
        <v>44228</v>
      </c>
    </row>
    <row r="58" spans="1:10" ht="60" x14ac:dyDescent="0.25">
      <c r="A58" s="17">
        <v>20401</v>
      </c>
      <c r="B58" s="5" t="str">
        <f>HYPERLINK("https://fingertips.phe.org.uk/profile/public-health-outcomes-framework/data#page/6/gid/1000042/pat/6/par/E12000004/ati/102/are/E06000015/iid/20401/age/173/sex/2","C02a - Under 18s conception rate / 1,000")</f>
        <v>C02a - Under 18s conception rate / 1,000</v>
      </c>
      <c r="C58" s="3">
        <v>2018</v>
      </c>
      <c r="D58" s="2"/>
      <c r="E58" s="2" t="s">
        <v>11</v>
      </c>
      <c r="F58" s="2" t="s">
        <v>25</v>
      </c>
      <c r="G58" s="3" t="s">
        <v>44</v>
      </c>
      <c r="H58" s="15" t="s">
        <v>91</v>
      </c>
      <c r="I58" s="2" t="s">
        <v>112</v>
      </c>
      <c r="J58" s="16">
        <v>43952</v>
      </c>
    </row>
    <row r="59" spans="1:10" ht="45" x14ac:dyDescent="0.25">
      <c r="A59" s="17">
        <v>90639</v>
      </c>
      <c r="B59" s="5" t="str">
        <f>HYPERLINK("https://fingertips.phe.org.uk/profile/public-health-outcomes-framework/data#page/6/gid/1000042/pat/6/par/E12000004/ati/102/are/E06000015/iid/90639/age/169/sex/2","C02b - Under 16s conception rate / 1,000")</f>
        <v>C02b - Under 16s conception rate / 1,000</v>
      </c>
      <c r="C59" s="3">
        <v>2018</v>
      </c>
      <c r="D59" s="2"/>
      <c r="E59" s="2" t="s">
        <v>8</v>
      </c>
      <c r="F59" s="2" t="s">
        <v>25</v>
      </c>
      <c r="G59" s="3" t="s">
        <v>43</v>
      </c>
      <c r="H59" s="15" t="s">
        <v>91</v>
      </c>
      <c r="I59" s="2" t="s">
        <v>112</v>
      </c>
      <c r="J59" s="16">
        <v>43952</v>
      </c>
    </row>
    <row r="60" spans="1:10" ht="75" x14ac:dyDescent="0.25">
      <c r="A60" s="17">
        <v>93584</v>
      </c>
      <c r="B60" s="5" t="s">
        <v>139</v>
      </c>
      <c r="C60" s="29" t="s">
        <v>15</v>
      </c>
      <c r="D60" s="30" t="s">
        <v>155</v>
      </c>
      <c r="E60" s="30" t="s">
        <v>8</v>
      </c>
      <c r="F60" s="30" t="s">
        <v>158</v>
      </c>
      <c r="G60" s="29" t="s">
        <v>39</v>
      </c>
      <c r="H60" s="31" t="s">
        <v>93</v>
      </c>
      <c r="I60" s="30" t="s">
        <v>150</v>
      </c>
      <c r="J60" s="16">
        <v>44075</v>
      </c>
    </row>
    <row r="61" spans="1:10" ht="60" x14ac:dyDescent="0.25">
      <c r="A61" s="17">
        <v>93585</v>
      </c>
      <c r="B61" s="5" t="s">
        <v>140</v>
      </c>
      <c r="C61" s="29" t="s">
        <v>15</v>
      </c>
      <c r="D61" s="30" t="s">
        <v>155</v>
      </c>
      <c r="E61" s="30" t="s">
        <v>8</v>
      </c>
      <c r="F61" s="30" t="s">
        <v>159</v>
      </c>
      <c r="G61" s="29" t="s">
        <v>39</v>
      </c>
      <c r="H61" s="31" t="s">
        <v>93</v>
      </c>
      <c r="I61" s="30" t="s">
        <v>150</v>
      </c>
      <c r="J61" s="16">
        <v>44075</v>
      </c>
    </row>
    <row r="62" spans="1:10" ht="75" x14ac:dyDescent="0.25">
      <c r="A62" s="17">
        <v>93579</v>
      </c>
      <c r="B62" s="5" t="s">
        <v>138</v>
      </c>
      <c r="C62" s="29" t="s">
        <v>15</v>
      </c>
      <c r="D62" s="30" t="s">
        <v>155</v>
      </c>
      <c r="E62" s="30" t="s">
        <v>8</v>
      </c>
      <c r="F62" s="30" t="s">
        <v>158</v>
      </c>
      <c r="G62" s="29" t="s">
        <v>39</v>
      </c>
      <c r="H62" s="31" t="s">
        <v>93</v>
      </c>
      <c r="I62" s="30" t="s">
        <v>150</v>
      </c>
      <c r="J62" s="16">
        <v>44075</v>
      </c>
    </row>
    <row r="63" spans="1:10" ht="60" x14ac:dyDescent="0.25">
      <c r="A63" s="17">
        <v>20101</v>
      </c>
      <c r="B63" s="5" t="str">
        <f>HYPERLINK("https://fingertips.phe.org.uk/profile/public-health-outcomes-framework/data#page/6/gid/1000042/pat/6/par/E12000004/ati/102/are/E06000015/iid/20101/age/235/sex/4","C04 - Low birth weight of term babies")</f>
        <v>C04 - Low birth weight of term babies</v>
      </c>
      <c r="C63" s="3">
        <v>2018</v>
      </c>
      <c r="D63" s="2"/>
      <c r="E63" s="2" t="s">
        <v>11</v>
      </c>
      <c r="F63" s="2" t="s">
        <v>25</v>
      </c>
      <c r="G63" s="3" t="s">
        <v>45</v>
      </c>
      <c r="H63" s="15"/>
      <c r="I63" s="2" t="s">
        <v>114</v>
      </c>
      <c r="J63" s="16">
        <v>43891</v>
      </c>
    </row>
    <row r="64" spans="1:10" ht="105" x14ac:dyDescent="0.25">
      <c r="A64" s="17">
        <v>93580</v>
      </c>
      <c r="B64" s="5" t="str">
        <f>HYPERLINK("https://fingertips.phe.org.uk/profile/public-health-outcomes-framework/data#page/6/gid/1000042/pat/6/par/E12000004/ati/102/are/E06000015/iid/93580/age/309/sex/4","C05a - Baby's first feed breastmilk")</f>
        <v>C05a - Baby's first feed breastmilk</v>
      </c>
      <c r="C64" s="3" t="s">
        <v>15</v>
      </c>
      <c r="D64" s="2"/>
      <c r="E64" s="2" t="s">
        <v>8</v>
      </c>
      <c r="F64" s="2" t="s">
        <v>46</v>
      </c>
      <c r="G64" s="3" t="s">
        <v>47</v>
      </c>
      <c r="H64" s="15"/>
      <c r="I64" s="30" t="s">
        <v>150</v>
      </c>
      <c r="J64" s="16">
        <v>43891</v>
      </c>
    </row>
    <row r="65" spans="1:10" ht="51" customHeight="1" x14ac:dyDescent="0.25">
      <c r="A65" s="25" t="s">
        <v>131</v>
      </c>
      <c r="B65" s="21" t="s">
        <v>141</v>
      </c>
      <c r="C65" s="25"/>
      <c r="D65" s="26" t="s">
        <v>186</v>
      </c>
      <c r="E65" s="26"/>
      <c r="F65" s="26"/>
      <c r="G65" s="25"/>
      <c r="H65" s="27"/>
      <c r="I65" s="26"/>
      <c r="J65" s="28"/>
    </row>
    <row r="66" spans="1:10" ht="45" x14ac:dyDescent="0.25">
      <c r="A66" s="17">
        <v>92517</v>
      </c>
      <c r="B66" s="5" t="str">
        <f>HYPERLINK("https://fingertips.phe.org.uk/profile/public-health-outcomes-framework/data#page/6/gid/1000042/pat/6/par/E12000004/ati/102/are/E06000015/iid/92517/age/170/sex/4","2.02ii - Breastfeeding prevalence at 6-8 weeks after birth - current method")</f>
        <v>2.02ii - Breastfeeding prevalence at 6-8 weeks after birth - current method</v>
      </c>
      <c r="C66" s="3" t="s">
        <v>143</v>
      </c>
      <c r="D66" s="2"/>
      <c r="E66" s="2" t="s">
        <v>8</v>
      </c>
      <c r="F66" s="2" t="s">
        <v>31</v>
      </c>
      <c r="G66" s="3" t="s">
        <v>74</v>
      </c>
      <c r="H66" s="15" t="s">
        <v>93</v>
      </c>
      <c r="I66" s="2" t="s">
        <v>114</v>
      </c>
      <c r="J66" s="16">
        <v>44228</v>
      </c>
    </row>
    <row r="67" spans="1:10" ht="60" x14ac:dyDescent="0.25">
      <c r="A67" s="17">
        <v>93085</v>
      </c>
      <c r="B67" s="5" t="str">
        <f>HYPERLINK("https://fingertips.phe.org.uk/profile/public-health-outcomes-framework/data#page/6/gid/1000042/pat/6/par/E12000004/ati/102/are/E06000015/iid/93085/age/1/sex/2","C06 - Smoking status at time of delivery")</f>
        <v>C06 - Smoking status at time of delivery</v>
      </c>
      <c r="C67" s="3" t="s">
        <v>143</v>
      </c>
      <c r="D67" s="2"/>
      <c r="E67" s="2" t="s">
        <v>11</v>
      </c>
      <c r="F67" s="2" t="s">
        <v>160</v>
      </c>
      <c r="G67" s="3" t="s">
        <v>10</v>
      </c>
      <c r="H67" s="15" t="s">
        <v>93</v>
      </c>
      <c r="I67" s="2" t="s">
        <v>113</v>
      </c>
      <c r="J67" s="16">
        <v>44136</v>
      </c>
    </row>
    <row r="68" spans="1:10" ht="45" x14ac:dyDescent="0.25">
      <c r="A68" s="17">
        <v>93469</v>
      </c>
      <c r="B68" s="5" t="str">
        <f>HYPERLINK("https://fingertips.phe.org.uk/profile/public-health-outcomes-framework/data#page/6/gid/1000042/pat/6/par/E12000004/ati/102/are/E06000015/iid/93469/age/284/sex/4","C07 - Proportion of New Birth Visits (NBVs) completed within 14 days")</f>
        <v>C07 - Proportion of New Birth Visits (NBVs) completed within 14 days</v>
      </c>
      <c r="C68" s="3" t="s">
        <v>143</v>
      </c>
      <c r="D68" s="2"/>
      <c r="E68" s="2" t="s">
        <v>8</v>
      </c>
      <c r="F68" s="2" t="s">
        <v>31</v>
      </c>
      <c r="G68" s="3" t="s">
        <v>48</v>
      </c>
      <c r="H68" s="15" t="s">
        <v>93</v>
      </c>
      <c r="I68" s="2" t="s">
        <v>114</v>
      </c>
      <c r="J68" s="16">
        <v>44228</v>
      </c>
    </row>
    <row r="69" spans="1:10" ht="45" x14ac:dyDescent="0.25">
      <c r="A69" s="17">
        <v>93436</v>
      </c>
      <c r="B69" s="5" t="str">
        <f>HYPERLINK("https://fingertips.phe.org.uk/profile/public-health-outcomes-framework/data#page/6/gid/1000042/pat/6/par/E12000004/ati/102/are/E06000015/iid/93436/age/241/sex/4","C08a - Child development: percentage of children achieving a good level of development at 2-2½ years")</f>
        <v>C08a - Child development: percentage of children achieving a good level of development at 2-2½ years</v>
      </c>
      <c r="C69" s="3" t="s">
        <v>143</v>
      </c>
      <c r="D69" s="2"/>
      <c r="E69" s="2" t="s">
        <v>8</v>
      </c>
      <c r="F69" s="2" t="s">
        <v>31</v>
      </c>
      <c r="G69" s="3" t="s">
        <v>49</v>
      </c>
      <c r="H69" s="15" t="s">
        <v>93</v>
      </c>
      <c r="I69" s="2" t="s">
        <v>114</v>
      </c>
      <c r="J69" s="16">
        <v>44228</v>
      </c>
    </row>
    <row r="70" spans="1:10" ht="45" x14ac:dyDescent="0.25">
      <c r="A70" s="17">
        <v>93431</v>
      </c>
      <c r="B70" s="5" t="str">
        <f>HYPERLINK("https://fingertips.phe.org.uk/profile/public-health-outcomes-framework/data#page/6/gid/1000042/pat/6/par/E12000004/ati/102/are/E06000015/iid/93431/age/241/sex/4","C08b - Child development: percentage of children achieving the expected level in communication skills at 2-2½ years")</f>
        <v>C08b - Child development: percentage of children achieving the expected level in communication skills at 2-2½ years</v>
      </c>
      <c r="C70" s="3" t="s">
        <v>143</v>
      </c>
      <c r="D70" s="2"/>
      <c r="E70" s="2" t="s">
        <v>8</v>
      </c>
      <c r="F70" s="2" t="s">
        <v>31</v>
      </c>
      <c r="G70" s="3" t="s">
        <v>49</v>
      </c>
      <c r="H70" s="15" t="s">
        <v>93</v>
      </c>
      <c r="I70" s="2" t="s">
        <v>114</v>
      </c>
      <c r="J70" s="16">
        <v>44228</v>
      </c>
    </row>
    <row r="71" spans="1:10" ht="45" x14ac:dyDescent="0.25">
      <c r="A71" s="17">
        <v>93435</v>
      </c>
      <c r="B71" s="5" t="str">
        <f>HYPERLINK("https://fingertips.phe.org.uk/profile/public-health-outcomes-framework/data#page/6/gid/1000042/pat/6/par/E12000004/ati/102/are/E06000015/iid/93435/age/241/sex/4","C08c - Child development: percentage of children achieving the expected level in personal-social skills at 2-2½ years")</f>
        <v>C08c - Child development: percentage of children achieving the expected level in personal-social skills at 2-2½ years</v>
      </c>
      <c r="C71" s="3" t="s">
        <v>143</v>
      </c>
      <c r="D71" s="2"/>
      <c r="E71" s="2" t="s">
        <v>8</v>
      </c>
      <c r="F71" s="2" t="s">
        <v>31</v>
      </c>
      <c r="G71" s="3" t="s">
        <v>49</v>
      </c>
      <c r="H71" s="15" t="s">
        <v>93</v>
      </c>
      <c r="I71" s="2" t="s">
        <v>114</v>
      </c>
      <c r="J71" s="16">
        <v>44228</v>
      </c>
    </row>
    <row r="72" spans="1:10" ht="60" x14ac:dyDescent="0.25">
      <c r="A72" s="17">
        <v>20601</v>
      </c>
      <c r="B72" s="5" t="str">
        <f>HYPERLINK("https://fingertips.phe.org.uk/profile/public-health-outcomes-framework/data#page/6/gid/1000042/pat/6/par/E12000004/ati/102/are/E06000015/iid/20601/age/200/sex/4","C09a - Reception: Prevalence of overweight (including obesity)")</f>
        <v>C09a - Reception: Prevalence of overweight (including obesity)</v>
      </c>
      <c r="C72" s="3" t="s">
        <v>143</v>
      </c>
      <c r="D72" s="2"/>
      <c r="E72" s="2" t="s">
        <v>11</v>
      </c>
      <c r="F72" s="2" t="s">
        <v>21</v>
      </c>
      <c r="G72" s="3" t="s">
        <v>50</v>
      </c>
      <c r="H72" s="15" t="s">
        <v>91</v>
      </c>
      <c r="I72" s="2" t="s">
        <v>165</v>
      </c>
      <c r="J72" s="16">
        <v>44166</v>
      </c>
    </row>
    <row r="73" spans="1:10" ht="60" x14ac:dyDescent="0.25">
      <c r="A73" s="17">
        <v>20602</v>
      </c>
      <c r="B73" s="5" t="str">
        <f>HYPERLINK("https://fingertips.phe.org.uk/profile/public-health-outcomes-framework/data#page/6/gid/1000042/pat/6/par/E12000004/ati/102/are/E06000015/iid/20602/age/201/sex/4","C09b - Year 6: Prevalence of overweight (including obesity)")</f>
        <v>C09b - Year 6: Prevalence of overweight (including obesity)</v>
      </c>
      <c r="C73" s="3" t="s">
        <v>143</v>
      </c>
      <c r="D73" s="2"/>
      <c r="E73" s="2" t="s">
        <v>11</v>
      </c>
      <c r="F73" s="2" t="s">
        <v>21</v>
      </c>
      <c r="G73" s="3" t="s">
        <v>51</v>
      </c>
      <c r="H73" s="15" t="s">
        <v>91</v>
      </c>
      <c r="I73" s="2" t="s">
        <v>165</v>
      </c>
      <c r="J73" s="16">
        <v>44166</v>
      </c>
    </row>
    <row r="74" spans="1:10" ht="60" x14ac:dyDescent="0.25">
      <c r="A74" s="17">
        <v>93570</v>
      </c>
      <c r="B74" s="5" t="str">
        <f>HYPERLINK("https://fingertips.phe.org.uk/profile/public-health-outcomes-framework/data#page/6/gid/1000042/pat/6/par/E12000004/ati/102/are/E06000015/iid/93570/age/246/sex/4","C10 - Percentage of physically active children and young people")</f>
        <v>C10 - Percentage of physically active children and young people</v>
      </c>
      <c r="C74" s="3" t="s">
        <v>15</v>
      </c>
      <c r="D74" s="2"/>
      <c r="E74" s="2" t="s">
        <v>11</v>
      </c>
      <c r="F74" s="2" t="s">
        <v>52</v>
      </c>
      <c r="G74" s="3" t="s">
        <v>53</v>
      </c>
      <c r="H74" s="15" t="s">
        <v>91</v>
      </c>
      <c r="I74" s="2" t="s">
        <v>115</v>
      </c>
      <c r="J74" s="16">
        <v>43862</v>
      </c>
    </row>
    <row r="75" spans="1:10" ht="60" x14ac:dyDescent="0.25">
      <c r="A75" s="17">
        <v>90284</v>
      </c>
      <c r="B75" s="5" t="str">
        <f>HYPERLINK("https://fingertips.phe.org.uk/profile/public-health-outcomes-framework/data#page/6/gid/1000042/pat/6/par/E12000004/ati/102/are/E06000015/iid/90284/age/26/sex/4","C11a - Hospital admissions caused by unintentional and deliberate injuries in children (aged 0-14 years)")</f>
        <v>C11a - Hospital admissions caused by unintentional and deliberate injuries in children (aged 0-14 years)</v>
      </c>
      <c r="C75" s="3" t="s">
        <v>143</v>
      </c>
      <c r="D75" s="2"/>
      <c r="E75" s="2" t="s">
        <v>11</v>
      </c>
      <c r="F75" s="2" t="s">
        <v>12</v>
      </c>
      <c r="G75" s="3" t="s">
        <v>54</v>
      </c>
      <c r="H75" s="15" t="s">
        <v>93</v>
      </c>
      <c r="I75" s="2" t="s">
        <v>104</v>
      </c>
      <c r="J75" s="16">
        <v>44228</v>
      </c>
    </row>
    <row r="76" spans="1:10" ht="60" x14ac:dyDescent="0.25">
      <c r="A76" s="17">
        <v>90832</v>
      </c>
      <c r="B76" s="5" t="str">
        <f>HYPERLINK("https://fingertips.phe.org.uk/profile/public-health-outcomes-framework/data#page/6/gid/1000042/pat/6/par/E12000004/ati/102/are/E06000015/iid/90832/age/28/sex/4","C11a - Hospital admissions caused by unintentional and deliberate injuries in children (aged 0-4 years)")</f>
        <v>C11a - Hospital admissions caused by unintentional and deliberate injuries in children (aged 0-4 years)</v>
      </c>
      <c r="C76" s="3" t="s">
        <v>143</v>
      </c>
      <c r="D76" s="2"/>
      <c r="E76" s="2" t="s">
        <v>11</v>
      </c>
      <c r="F76" s="2" t="s">
        <v>12</v>
      </c>
      <c r="G76" s="3" t="s">
        <v>55</v>
      </c>
      <c r="H76" s="15" t="s">
        <v>93</v>
      </c>
      <c r="I76" s="2" t="s">
        <v>104</v>
      </c>
      <c r="J76" s="16">
        <v>44228</v>
      </c>
    </row>
    <row r="77" spans="1:10" ht="60" x14ac:dyDescent="0.25">
      <c r="A77" s="17">
        <v>90285</v>
      </c>
      <c r="B77" s="5" t="str">
        <f>HYPERLINK("https://fingertips.phe.org.uk/profile/public-health-outcomes-framework/data#page/6/gid/1000042/pat/6/par/E12000004/ati/102/are/E06000015/iid/90285/age/156/sex/4","C11b - Hospital admissions caused by unintentional and deliberate injuries in young people (aged 15-24 years)")</f>
        <v>C11b - Hospital admissions caused by unintentional and deliberate injuries in young people (aged 15-24 years)</v>
      </c>
      <c r="C77" s="3" t="s">
        <v>143</v>
      </c>
      <c r="D77" s="2"/>
      <c r="E77" s="2" t="s">
        <v>11</v>
      </c>
      <c r="F77" s="2" t="s">
        <v>12</v>
      </c>
      <c r="G77" s="3" t="s">
        <v>56</v>
      </c>
      <c r="H77" s="15" t="s">
        <v>93</v>
      </c>
      <c r="I77" s="2" t="s">
        <v>104</v>
      </c>
      <c r="J77" s="16">
        <v>44228</v>
      </c>
    </row>
    <row r="78" spans="1:10" ht="45" x14ac:dyDescent="0.25">
      <c r="A78" s="17">
        <v>92315</v>
      </c>
      <c r="B78" s="5" t="str">
        <f>HYPERLINK("https://fingertips.phe.org.uk/profile/public-health-outcomes-framework/data#page/6/gid/1000042/pat/6/par/E12000004/ati/102/are/E06000015/iid/92315/age/246/sex/4","C12 - Percentage of looked after children whose emotional wellbeing is a cause for concern")</f>
        <v>C12 - Percentage of looked after children whose emotional wellbeing is a cause for concern</v>
      </c>
      <c r="C78" s="3" t="s">
        <v>15</v>
      </c>
      <c r="D78" s="2"/>
      <c r="E78" s="2" t="s">
        <v>8</v>
      </c>
      <c r="F78" s="2" t="s">
        <v>25</v>
      </c>
      <c r="G78" s="3" t="s">
        <v>53</v>
      </c>
      <c r="H78" s="15" t="s">
        <v>91</v>
      </c>
      <c r="I78" s="2" t="s">
        <v>95</v>
      </c>
      <c r="J78" s="16">
        <v>43862</v>
      </c>
    </row>
    <row r="79" spans="1:10" ht="45" x14ac:dyDescent="0.25">
      <c r="A79" s="17">
        <v>91183</v>
      </c>
      <c r="B79" s="5" t="str">
        <f>HYPERLINK("https://fingertips.phe.org.uk/profile/public-health-outcomes-framework/data#page/6/gid/1000042/pat/6/par/E12000004/ati/102/are/E06000015/iid/91183/age/44/sex/4","C13a - Smoking prevalence age 15 years - regular smokers (SDD survey)")</f>
        <v>C13a - Smoking prevalence age 15 years - regular smokers (SDD survey)</v>
      </c>
      <c r="C79" s="3">
        <v>2018</v>
      </c>
      <c r="D79" s="2"/>
      <c r="E79" s="2" t="s">
        <v>13</v>
      </c>
      <c r="F79" s="2" t="s">
        <v>9</v>
      </c>
      <c r="G79" s="3" t="s">
        <v>57</v>
      </c>
      <c r="H79" s="15"/>
      <c r="I79" s="2" t="s">
        <v>166</v>
      </c>
      <c r="J79" s="16">
        <v>43709</v>
      </c>
    </row>
    <row r="80" spans="1:10" ht="45" x14ac:dyDescent="0.25">
      <c r="A80" s="17">
        <v>91184</v>
      </c>
      <c r="B80" s="5" t="str">
        <f>HYPERLINK("https://fingertips.phe.org.uk/profile/public-health-outcomes-framework/data#page/6/gid/1000042/pat/6/par/E12000004/ati/102/are/E06000015/iid/91184/age/44/sex/4","C13b - Smoking prevalence age 15 years - occasional smokers (SDD survey)")</f>
        <v>C13b - Smoking prevalence age 15 years - occasional smokers (SDD survey)</v>
      </c>
      <c r="C80" s="3">
        <v>2018</v>
      </c>
      <c r="D80" s="2"/>
      <c r="E80" s="2" t="s">
        <v>13</v>
      </c>
      <c r="F80" s="2" t="s">
        <v>9</v>
      </c>
      <c r="G80" s="3" t="s">
        <v>57</v>
      </c>
      <c r="H80" s="15"/>
      <c r="I80" s="2" t="s">
        <v>166</v>
      </c>
      <c r="J80" s="16">
        <v>43709</v>
      </c>
    </row>
    <row r="81" spans="1:10" ht="37.5" customHeight="1" x14ac:dyDescent="0.25">
      <c r="A81" s="33" t="s">
        <v>129</v>
      </c>
      <c r="B81" s="35" t="s">
        <v>146</v>
      </c>
      <c r="C81" s="32"/>
      <c r="D81" s="33" t="s">
        <v>163</v>
      </c>
      <c r="E81" s="33"/>
      <c r="F81" s="33"/>
      <c r="G81" s="32"/>
      <c r="H81" s="34"/>
      <c r="I81" s="33"/>
      <c r="J81" s="33"/>
    </row>
    <row r="82" spans="1:10" ht="60" x14ac:dyDescent="0.25">
      <c r="A82" s="17">
        <v>21001</v>
      </c>
      <c r="B82" s="5" t="str">
        <f>HYPERLINK("https://fingertips.phe.org.uk/profile/public-health-outcomes-framework/data#page/6/gid/1000042/pat/6/par/E12000004/ati/102/are/E06000015/iid/21001/age/1/sex/4","C14b - Emergency Hospital Admissions for Intentional Self-Harm")</f>
        <v>C14b - Emergency Hospital Admissions for Intentional Self-Harm</v>
      </c>
      <c r="C82" s="3" t="s">
        <v>143</v>
      </c>
      <c r="D82" s="2"/>
      <c r="E82" s="2" t="s">
        <v>11</v>
      </c>
      <c r="F82" s="2" t="s">
        <v>12</v>
      </c>
      <c r="G82" s="3" t="s">
        <v>10</v>
      </c>
      <c r="H82" s="15" t="s">
        <v>93</v>
      </c>
      <c r="I82" s="2" t="s">
        <v>104</v>
      </c>
      <c r="J82" s="16">
        <v>44228</v>
      </c>
    </row>
    <row r="83" spans="1:10" ht="120" x14ac:dyDescent="0.25">
      <c r="A83" s="17">
        <v>93077</v>
      </c>
      <c r="B83" s="5" t="str">
        <f>HYPERLINK("https://fingertips.phe.org.uk/profile/public-health-outcomes-framework/data#page/6/gid/1000042/pat/6/par/E12000004/ati/102/are/E06000015/iid/93077/age/164/sex/4","C15 - Proportion of the population meeting the recommended '5-a-day' on a 'usual day' (adults)")</f>
        <v>C15 - Proportion of the population meeting the recommended '5-a-day' on a 'usual day' (adults)</v>
      </c>
      <c r="C83" s="3" t="s">
        <v>15</v>
      </c>
      <c r="D83" s="2"/>
      <c r="E83" s="2" t="s">
        <v>11</v>
      </c>
      <c r="F83" s="2" t="s">
        <v>58</v>
      </c>
      <c r="G83" s="3" t="s">
        <v>35</v>
      </c>
      <c r="H83" s="15" t="s">
        <v>93</v>
      </c>
      <c r="I83" s="2" t="s">
        <v>116</v>
      </c>
      <c r="J83" s="16">
        <v>43952</v>
      </c>
    </row>
    <row r="84" spans="1:10" ht="120" x14ac:dyDescent="0.25">
      <c r="A84" s="17">
        <v>93088</v>
      </c>
      <c r="B84" s="5" t="str">
        <f>HYPERLINK("https://fingertips.phe.org.uk/profile/public-health-outcomes-framework/data#page/6/gid/1000042/pat/6/par/E12000004/ati/102/are/E06000015/iid/93088/age/168/sex/4","C16 - Percentage of adults (aged 18+) classified as overweight or obese")</f>
        <v>C16 - Percentage of adults (aged 18+) classified as overweight or obese</v>
      </c>
      <c r="C84" s="3" t="s">
        <v>15</v>
      </c>
      <c r="D84" s="2"/>
      <c r="E84" s="2" t="s">
        <v>11</v>
      </c>
      <c r="F84" s="2" t="s">
        <v>58</v>
      </c>
      <c r="G84" s="3" t="s">
        <v>32</v>
      </c>
      <c r="H84" s="15" t="s">
        <v>93</v>
      </c>
      <c r="I84" s="2" t="s">
        <v>116</v>
      </c>
      <c r="J84" s="16">
        <v>43952</v>
      </c>
    </row>
    <row r="85" spans="1:10" ht="120" x14ac:dyDescent="0.25">
      <c r="A85" s="17">
        <v>93014</v>
      </c>
      <c r="B85" s="5" t="str">
        <f>HYPERLINK("https://fingertips.phe.org.uk/profile/public-health-outcomes-framework/data#page/6/gid/1000042/pat/6/par/E12000004/ati/102/are/E06000015/iid/93014/age/298/sex/4","C17a - Percentage of physically active adults")</f>
        <v>C17a - Percentage of physically active adults</v>
      </c>
      <c r="C85" s="3" t="s">
        <v>15</v>
      </c>
      <c r="D85" s="2"/>
      <c r="E85" s="2" t="s">
        <v>11</v>
      </c>
      <c r="F85" s="2" t="s">
        <v>58</v>
      </c>
      <c r="G85" s="3" t="s">
        <v>59</v>
      </c>
      <c r="H85" s="15" t="s">
        <v>93</v>
      </c>
      <c r="I85" s="2" t="s">
        <v>116</v>
      </c>
      <c r="J85" s="16">
        <v>43952</v>
      </c>
    </row>
    <row r="86" spans="1:10" ht="120" x14ac:dyDescent="0.25">
      <c r="A86" s="17">
        <v>93015</v>
      </c>
      <c r="B86" s="5" t="str">
        <f>HYPERLINK("https://fingertips.phe.org.uk/profile/public-health-outcomes-framework/data#page/6/gid/1000042/pat/6/par/E12000004/ati/102/are/E06000015/iid/93015/age/298/sex/4","C17b - Percentage of physically inactive adults")</f>
        <v>C17b - Percentage of physically inactive adults</v>
      </c>
      <c r="C86" s="3" t="s">
        <v>15</v>
      </c>
      <c r="D86" s="2"/>
      <c r="E86" s="2" t="s">
        <v>11</v>
      </c>
      <c r="F86" s="2" t="s">
        <v>58</v>
      </c>
      <c r="G86" s="3" t="s">
        <v>59</v>
      </c>
      <c r="H86" s="15" t="s">
        <v>93</v>
      </c>
      <c r="I86" s="2" t="s">
        <v>116</v>
      </c>
      <c r="J86" s="16">
        <v>43952</v>
      </c>
    </row>
    <row r="87" spans="1:10" ht="135" x14ac:dyDescent="0.25">
      <c r="A87" s="17">
        <v>92443</v>
      </c>
      <c r="B87" s="5" t="str">
        <f>HYPERLINK("https://fingertips.phe.org.uk/profile/public-health-outcomes-framework/data#page/6/gid/1000042/pat/6/par/E12000004/ati/102/are/E06000015/iid/92443/age/168/sex/4","C18 - Smoking Prevalence in adults (18+) - current smokers (APS)")</f>
        <v>C18 - Smoking Prevalence in adults (18+) - current smokers (APS)</v>
      </c>
      <c r="C87" s="3">
        <v>2019</v>
      </c>
      <c r="D87" s="2"/>
      <c r="E87" s="2" t="s">
        <v>11</v>
      </c>
      <c r="F87" s="2" t="s">
        <v>161</v>
      </c>
      <c r="G87" s="3" t="s">
        <v>32</v>
      </c>
      <c r="H87" s="15"/>
      <c r="I87" s="2" t="s">
        <v>114</v>
      </c>
      <c r="J87" s="16">
        <v>44013</v>
      </c>
    </row>
    <row r="88" spans="1:10" ht="45" x14ac:dyDescent="0.25">
      <c r="A88" s="17">
        <v>90244</v>
      </c>
      <c r="B88" s="5" t="str">
        <f>HYPERLINK("https://fingertips.phe.org.uk/profile/public-health-outcomes-framework/data#page/6/gid/1000042/pat/6/par/E12000004/ati/102/are/E06000015/iid/90244/age/168/sex/4","C19a - Successful completion of drug treatment - opiate users")</f>
        <v>C19a - Successful completion of drug treatment - opiate users</v>
      </c>
      <c r="C88" s="3">
        <v>2019</v>
      </c>
      <c r="D88" s="2"/>
      <c r="E88" s="2" t="s">
        <v>8</v>
      </c>
      <c r="F88" s="2" t="s">
        <v>25</v>
      </c>
      <c r="G88" s="3" t="s">
        <v>32</v>
      </c>
      <c r="H88" s="15" t="s">
        <v>91</v>
      </c>
      <c r="I88" s="2" t="s">
        <v>114</v>
      </c>
      <c r="J88" s="16">
        <v>44228</v>
      </c>
    </row>
    <row r="89" spans="1:10" ht="45" x14ac:dyDescent="0.25">
      <c r="A89" s="17">
        <v>90245</v>
      </c>
      <c r="B89" s="5" t="str">
        <f>HYPERLINK("https://fingertips.phe.org.uk/profile/public-health-outcomes-framework/data#page/6/gid/1000042/pat/6/par/E12000004/ati/102/are/E06000015/iid/90245/age/168/sex/4","C19b - Successful completion of drug treatment - non-opiate users")</f>
        <v>C19b - Successful completion of drug treatment - non-opiate users</v>
      </c>
      <c r="C89" s="3">
        <v>2019</v>
      </c>
      <c r="D89" s="2"/>
      <c r="E89" s="2" t="s">
        <v>8</v>
      </c>
      <c r="F89" s="2" t="s">
        <v>25</v>
      </c>
      <c r="G89" s="3" t="s">
        <v>32</v>
      </c>
      <c r="H89" s="15" t="s">
        <v>91</v>
      </c>
      <c r="I89" s="2" t="s">
        <v>114</v>
      </c>
      <c r="J89" s="16">
        <v>44228</v>
      </c>
    </row>
    <row r="90" spans="1:10" ht="45" x14ac:dyDescent="0.25">
      <c r="A90" s="17">
        <v>92447</v>
      </c>
      <c r="B90" s="5" t="str">
        <f>HYPERLINK("https://fingertips.phe.org.uk/profile/public-health-outcomes-framework/data#page/6/gid/1000042/pat/6/par/E12000004/ati/102/are/E06000015/iid/92447/age/168/sex/4","C19c - Successful completion of alcohol treatment")</f>
        <v>C19c - Successful completion of alcohol treatment</v>
      </c>
      <c r="C90" s="3">
        <v>2019</v>
      </c>
      <c r="D90" s="2"/>
      <c r="E90" s="2" t="s">
        <v>8</v>
      </c>
      <c r="F90" s="2" t="s">
        <v>25</v>
      </c>
      <c r="G90" s="3" t="s">
        <v>32</v>
      </c>
      <c r="H90" s="15" t="s">
        <v>91</v>
      </c>
      <c r="I90" s="2" t="s">
        <v>114</v>
      </c>
      <c r="J90" s="16">
        <v>44228</v>
      </c>
    </row>
    <row r="91" spans="1:10" ht="60" x14ac:dyDescent="0.25">
      <c r="A91" s="17">
        <v>92432</v>
      </c>
      <c r="B91" s="5" t="str">
        <f>HYPERLINK("https://fingertips.phe.org.uk/profile/public-health-outcomes-framework/data#page/6/gid/1000042/pat/6/par/E12000004/ati/102/are/E06000015/iid/92432/age/1/sex/4","C19d - Deaths from drug misuse")</f>
        <v>C19d - Deaths from drug misuse</v>
      </c>
      <c r="C91" s="3" t="s">
        <v>154</v>
      </c>
      <c r="D91" s="2"/>
      <c r="E91" s="2" t="s">
        <v>11</v>
      </c>
      <c r="F91" s="2" t="s">
        <v>12</v>
      </c>
      <c r="G91" s="3" t="s">
        <v>10</v>
      </c>
      <c r="H91" s="15" t="s">
        <v>91</v>
      </c>
      <c r="I91" s="2" t="s">
        <v>92</v>
      </c>
      <c r="J91" s="16">
        <v>44136</v>
      </c>
    </row>
    <row r="92" spans="1:10" ht="59.25" customHeight="1" x14ac:dyDescent="0.25">
      <c r="A92" s="17">
        <v>92544</v>
      </c>
      <c r="B92" s="5" t="str">
        <f>HYPERLINK("https://fingertips.phe.org.uk/profile/public-health-outcomes-framework/data#page/6/gid/1000042/pat/6/par/E12000004/ati/102/are/E06000015/iid/92544/age/168/sex/4","C20 - Adults with substance misuse treatment need who successfully engage in community-based structured treatment following release from prison")</f>
        <v>C20 - Adults with substance misuse treatment need who successfully engage in community-based structured treatment following release from prison</v>
      </c>
      <c r="C92" s="3" t="s">
        <v>143</v>
      </c>
      <c r="D92" s="2"/>
      <c r="E92" s="2" t="s">
        <v>8</v>
      </c>
      <c r="F92" s="2" t="s">
        <v>25</v>
      </c>
      <c r="G92" s="3" t="s">
        <v>32</v>
      </c>
      <c r="H92" s="15" t="s">
        <v>93</v>
      </c>
      <c r="I92" s="2" t="s">
        <v>114</v>
      </c>
      <c r="J92" s="16">
        <v>44136</v>
      </c>
    </row>
    <row r="93" spans="1:10" ht="60" x14ac:dyDescent="0.25">
      <c r="A93" s="17">
        <v>91414</v>
      </c>
      <c r="B93" s="5" t="str">
        <f>HYPERLINK("https://fingertips.phe.org.uk/profile/public-health-outcomes-framework/data#page/6/gid/1000042/pat/6/par/E12000004/ati/102/are/E06000015/iid/91414/age/1/sex/4","C21 - Admission episodes for alcohol-related conditions (Narrow)")</f>
        <v>C21 - Admission episodes for alcohol-related conditions (Narrow)</v>
      </c>
      <c r="C93" s="3" t="s">
        <v>15</v>
      </c>
      <c r="D93" s="2"/>
      <c r="E93" s="2" t="s">
        <v>11</v>
      </c>
      <c r="F93" s="2" t="s">
        <v>12</v>
      </c>
      <c r="G93" s="3" t="s">
        <v>10</v>
      </c>
      <c r="H93" s="15" t="s">
        <v>93</v>
      </c>
      <c r="I93" s="2" t="s">
        <v>104</v>
      </c>
      <c r="J93" s="16">
        <v>43862</v>
      </c>
    </row>
    <row r="94" spans="1:10" ht="60" x14ac:dyDescent="0.25">
      <c r="A94" s="17">
        <v>93347</v>
      </c>
      <c r="B94" s="5" t="str">
        <f>HYPERLINK("https://fingertips.phe.org.uk/profile/public-health-outcomes-framework/data#page/6/gid/1000042/pat/6/par/E12000004/ati/102/are/E06000015/iid/93347/age/187/sex/4","C22 - Estimated diabetes diagnosis rate")</f>
        <v>C22 - Estimated diabetes diagnosis rate</v>
      </c>
      <c r="C94" s="3">
        <v>2018</v>
      </c>
      <c r="D94" s="2"/>
      <c r="E94" s="2" t="s">
        <v>11</v>
      </c>
      <c r="F94" s="2" t="s">
        <v>25</v>
      </c>
      <c r="G94" s="3" t="s">
        <v>60</v>
      </c>
      <c r="H94" s="15" t="s">
        <v>93</v>
      </c>
      <c r="I94" s="2" t="s">
        <v>127</v>
      </c>
      <c r="J94" s="16">
        <v>43497</v>
      </c>
    </row>
    <row r="95" spans="1:10" ht="60" x14ac:dyDescent="0.25">
      <c r="A95" s="17">
        <v>93671</v>
      </c>
      <c r="B95" s="5" t="str">
        <f>HYPERLINK("https://fingertips.phe.org.uk/profile/public-health-outcomes-framework/data#page/6/gid/1000042/pat/6/par/E12000004/ati/102/are/E06000015/iid/93671/age/1/sex/4","C23 - Percentage of cancers diagnosed at stages 1 and 2")</f>
        <v>C23 - Percentage of cancers diagnosed at stages 1 and 2</v>
      </c>
      <c r="C95" s="3">
        <v>2018</v>
      </c>
      <c r="D95" s="2"/>
      <c r="E95" s="2" t="s">
        <v>11</v>
      </c>
      <c r="F95" s="2" t="s">
        <v>178</v>
      </c>
      <c r="G95" s="3" t="s">
        <v>10</v>
      </c>
      <c r="H95" s="15" t="s">
        <v>93</v>
      </c>
      <c r="I95" s="2" t="s">
        <v>114</v>
      </c>
      <c r="J95" s="16">
        <v>44228</v>
      </c>
    </row>
    <row r="96" spans="1:10" ht="60" x14ac:dyDescent="0.25">
      <c r="A96" s="17">
        <v>22001</v>
      </c>
      <c r="B96" s="5" t="str">
        <f>HYPERLINK("https://fingertips.phe.org.uk/profile/public-health-outcomes-framework/data#page/6/gid/1000042/pat/6/par/E12000004/ati/102/are/E06000015/iid/22001/age/225/sex/2","C24a - Cancer screening coverage - breast cancer")</f>
        <v>C24a - Cancer screening coverage - breast cancer</v>
      </c>
      <c r="C96" s="3">
        <v>2020</v>
      </c>
      <c r="D96" s="2"/>
      <c r="E96" s="2" t="s">
        <v>11</v>
      </c>
      <c r="F96" s="2" t="s">
        <v>25</v>
      </c>
      <c r="G96" s="3" t="s">
        <v>61</v>
      </c>
      <c r="H96" s="15" t="s">
        <v>93</v>
      </c>
      <c r="I96" s="2" t="s">
        <v>114</v>
      </c>
      <c r="J96" s="16">
        <v>44228</v>
      </c>
    </row>
    <row r="97" spans="1:10" ht="60" x14ac:dyDescent="0.25">
      <c r="A97" s="17">
        <v>93560</v>
      </c>
      <c r="B97" s="5" t="str">
        <f>HYPERLINK("https://fingertips.phe.org.uk/profile/public-health-outcomes-framework/data#page/6/gid/1000042/pat/6/par/E12000004/ati/102/are/E06000015/iid/93560/age/299/sex/2","C24b - Cancer screening coverage - cervical cancer (aged 25 to 49 years old)")</f>
        <v>C24b - Cancer screening coverage - cervical cancer (aged 25 to 49 years old)</v>
      </c>
      <c r="C97" s="3">
        <v>2020</v>
      </c>
      <c r="D97" s="2"/>
      <c r="E97" s="2" t="s">
        <v>11</v>
      </c>
      <c r="F97" s="2" t="s">
        <v>25</v>
      </c>
      <c r="G97" s="3" t="s">
        <v>62</v>
      </c>
      <c r="H97" s="15" t="s">
        <v>93</v>
      </c>
      <c r="I97" s="2" t="s">
        <v>117</v>
      </c>
      <c r="J97" s="16">
        <v>44228</v>
      </c>
    </row>
    <row r="98" spans="1:10" ht="60" x14ac:dyDescent="0.25">
      <c r="A98" s="17">
        <v>93561</v>
      </c>
      <c r="B98" s="5" t="str">
        <f>HYPERLINK("https://fingertips.phe.org.uk/profile/public-health-outcomes-framework/data#page/6/gid/1000042/pat/6/par/E12000004/ati/102/are/E06000015/iid/93561/age/273/sex/2","C24c - Cancer screening coverage - cervical cancer (aged 50 to 64 years old)")</f>
        <v>C24c - Cancer screening coverage - cervical cancer (aged 50 to 64 years old)</v>
      </c>
      <c r="C98" s="3">
        <v>2020</v>
      </c>
      <c r="D98" s="2"/>
      <c r="E98" s="2" t="s">
        <v>11</v>
      </c>
      <c r="F98" s="2" t="s">
        <v>25</v>
      </c>
      <c r="G98" s="3" t="s">
        <v>63</v>
      </c>
      <c r="H98" s="15" t="s">
        <v>93</v>
      </c>
      <c r="I98" s="2" t="s">
        <v>117</v>
      </c>
      <c r="J98" s="16">
        <v>44228</v>
      </c>
    </row>
    <row r="99" spans="1:10" ht="60" x14ac:dyDescent="0.25">
      <c r="A99" s="17">
        <v>91720</v>
      </c>
      <c r="B99" s="5" t="str">
        <f>HYPERLINK("https://fingertips.phe.org.uk/profile/public-health-outcomes-framework/data#page/6/gid/1000042/pat/6/par/E12000004/ati/102/are/E06000015/iid/91720/age/280/sex/4","C24d - Cancer screening coverage - bowel cancer")</f>
        <v>C24d - Cancer screening coverage - bowel cancer</v>
      </c>
      <c r="C99" s="3">
        <v>2020</v>
      </c>
      <c r="D99" s="2"/>
      <c r="E99" s="2" t="s">
        <v>11</v>
      </c>
      <c r="F99" s="2" t="s">
        <v>25</v>
      </c>
      <c r="G99" s="3" t="s">
        <v>64</v>
      </c>
      <c r="H99" s="15" t="s">
        <v>93</v>
      </c>
      <c r="I99" s="2" t="s">
        <v>114</v>
      </c>
      <c r="J99" s="16">
        <v>44228</v>
      </c>
    </row>
    <row r="100" spans="1:10" ht="60" x14ac:dyDescent="0.25">
      <c r="A100" s="17">
        <v>92317</v>
      </c>
      <c r="B100" s="5" t="str">
        <f>HYPERLINK("https://fingertips.phe.org.uk/profile/public-health-outcomes-framework/data#page/6/gid/1000042/pat/6/par/E12000004/ati/102/are/E06000015/iid/92317/age/94/sex/1","C24e - Abdominal Aortic Aneurysm Screening - Coverage")</f>
        <v>C24e - Abdominal Aortic Aneurysm Screening - Coverage</v>
      </c>
      <c r="C100" s="3" t="s">
        <v>143</v>
      </c>
      <c r="D100" s="2"/>
      <c r="E100" s="2" t="s">
        <v>11</v>
      </c>
      <c r="F100" s="2" t="s">
        <v>25</v>
      </c>
      <c r="G100" s="3">
        <v>65</v>
      </c>
      <c r="H100" s="15" t="s">
        <v>93</v>
      </c>
      <c r="I100" s="2" t="s">
        <v>114</v>
      </c>
      <c r="J100" s="16">
        <v>44228</v>
      </c>
    </row>
    <row r="101" spans="1:10" ht="45" x14ac:dyDescent="0.25">
      <c r="A101" s="17">
        <v>92318</v>
      </c>
      <c r="B101" s="5" t="str">
        <f>HYPERLINK("https://fingertips.phe.org.uk/profile/public-health-outcomes-framework/data#page/6/gid/1000042/pat/6/par/E12000004/ati/102/are/E06000015/iid/92318/age/227/sex/4","C24f - Diabetic eye screening - uptake")</f>
        <v>C24f - Diabetic eye screening - uptake</v>
      </c>
      <c r="C101" s="3" t="s">
        <v>143</v>
      </c>
      <c r="D101" s="2"/>
      <c r="E101" s="2" t="s">
        <v>65</v>
      </c>
      <c r="F101" s="2" t="s">
        <v>31</v>
      </c>
      <c r="G101" s="3" t="s">
        <v>66</v>
      </c>
      <c r="H101" s="15" t="s">
        <v>91</v>
      </c>
      <c r="I101" s="2" t="s">
        <v>114</v>
      </c>
      <c r="J101" s="16">
        <v>44228</v>
      </c>
    </row>
    <row r="102" spans="1:10" ht="45" x14ac:dyDescent="0.25">
      <c r="A102" s="17">
        <v>93464</v>
      </c>
      <c r="B102" s="5" t="str">
        <f>HYPERLINK("https://fingertips.phe.org.uk/profile/public-health-outcomes-framework/data#page/6/gid/1000042/pat/6/par/E12000004/ati/102/are/E06000015/iid/93464/age/-1/sex/2","C24g - Fetal Anomaly Screening - Coverage")</f>
        <v>C24g - Fetal Anomaly Screening - Coverage</v>
      </c>
      <c r="C102" s="3" t="s">
        <v>143</v>
      </c>
      <c r="D102" s="2"/>
      <c r="E102" s="2" t="s">
        <v>65</v>
      </c>
      <c r="F102" s="2" t="s">
        <v>31</v>
      </c>
      <c r="G102" s="3" t="s">
        <v>39</v>
      </c>
      <c r="H102" s="15" t="s">
        <v>91</v>
      </c>
      <c r="I102" s="2" t="s">
        <v>114</v>
      </c>
      <c r="J102" s="16">
        <v>44228</v>
      </c>
    </row>
    <row r="103" spans="1:10" ht="45" x14ac:dyDescent="0.25">
      <c r="A103" s="17">
        <v>91321</v>
      </c>
      <c r="B103" s="5" t="str">
        <f>HYPERLINK("https://fingertips.phe.org.uk/profile/public-health-outcomes-framework/data#page/6/gid/1000042/pat/6/par/E12000004/ati/102/are/E06000015/iid/91321/age/1/sex/2","C24h - Infectious Diseases in Pregnancy Screening - HIV Coverage")</f>
        <v>C24h - Infectious Diseases in Pregnancy Screening - HIV Coverage</v>
      </c>
      <c r="C103" s="3" t="s">
        <v>143</v>
      </c>
      <c r="D103" s="2"/>
      <c r="E103" s="2" t="s">
        <v>65</v>
      </c>
      <c r="F103" s="2" t="s">
        <v>31</v>
      </c>
      <c r="G103" s="3" t="s">
        <v>10</v>
      </c>
      <c r="H103" s="15" t="s">
        <v>91</v>
      </c>
      <c r="I103" s="2" t="s">
        <v>114</v>
      </c>
      <c r="J103" s="16">
        <v>44228</v>
      </c>
    </row>
    <row r="104" spans="1:10" ht="45" x14ac:dyDescent="0.25">
      <c r="A104" s="17">
        <v>91751</v>
      </c>
      <c r="B104" s="43" t="str">
        <f>HYPERLINK("https://fingertips.phe.org.uk/profile/public-health-outcomes-framework/data#page/6/gid/1000042/pat/6/par/E12000004/ati/102/are/E06000015/iid/91751/age/1/sex/2","C24i - Infectious Diseases in Pregnancy Screening - Syphilis Coverage")</f>
        <v>C24i - Infectious Diseases in Pregnancy Screening - Syphilis Coverage</v>
      </c>
      <c r="C104" s="29" t="s">
        <v>143</v>
      </c>
      <c r="D104" s="30"/>
      <c r="E104" s="30" t="s">
        <v>65</v>
      </c>
      <c r="F104" s="30" t="s">
        <v>31</v>
      </c>
      <c r="G104" s="29" t="s">
        <v>10</v>
      </c>
      <c r="H104" s="31" t="s">
        <v>91</v>
      </c>
      <c r="I104" s="30" t="s">
        <v>114</v>
      </c>
      <c r="J104" s="16">
        <v>44228</v>
      </c>
    </row>
    <row r="105" spans="1:10" ht="45" x14ac:dyDescent="0.25">
      <c r="A105" s="17">
        <v>91750</v>
      </c>
      <c r="B105" s="43" t="str">
        <f>HYPERLINK("https://fingertips.phe.org.uk/profile/public-health-outcomes-framework/data#page/6/gid/1000042/pat/6/par/E12000004/ati/102/are/E06000015/iid/91750/age/1/sex/2","C24j - Infectious Diseases in Pregnancy Screening - Hepatitis B Coverage")</f>
        <v>C24j - Infectious Diseases in Pregnancy Screening - Hepatitis B Coverage</v>
      </c>
      <c r="C105" s="29" t="s">
        <v>143</v>
      </c>
      <c r="D105" s="30"/>
      <c r="E105" s="30" t="s">
        <v>65</v>
      </c>
      <c r="F105" s="30" t="s">
        <v>31</v>
      </c>
      <c r="G105" s="29" t="s">
        <v>10</v>
      </c>
      <c r="H105" s="31" t="s">
        <v>91</v>
      </c>
      <c r="I105" s="30" t="s">
        <v>114</v>
      </c>
      <c r="J105" s="16">
        <v>44228</v>
      </c>
    </row>
    <row r="106" spans="1:10" ht="45" x14ac:dyDescent="0.25">
      <c r="A106" s="17">
        <v>91322</v>
      </c>
      <c r="B106" s="5" t="str">
        <f>HYPERLINK("https://fingertips.phe.org.uk/profile/public-health-outcomes-framework/data#page/6/gid/1000042/pat/6/par/E12000004/ati/102/are/E06000015/iid/91322/age/1/sex/2","C24k - Sickle Cell and Thalassaemia Screening - Coverage")</f>
        <v>C24k - Sickle Cell and Thalassaemia Screening - Coverage</v>
      </c>
      <c r="C106" s="3" t="s">
        <v>143</v>
      </c>
      <c r="D106" s="2"/>
      <c r="E106" s="2" t="s">
        <v>65</v>
      </c>
      <c r="F106" s="2" t="s">
        <v>31</v>
      </c>
      <c r="G106" s="3" t="s">
        <v>10</v>
      </c>
      <c r="H106" s="15" t="s">
        <v>91</v>
      </c>
      <c r="I106" s="2" t="s">
        <v>114</v>
      </c>
      <c r="J106" s="16">
        <v>44228</v>
      </c>
    </row>
    <row r="107" spans="1:10" ht="45" x14ac:dyDescent="0.25">
      <c r="A107" s="17">
        <v>91323</v>
      </c>
      <c r="B107" s="5" t="str">
        <f>HYPERLINK("https://fingertips.phe.org.uk/profile/public-health-outcomes-framework/data#page/6/gid/1000042/pat/6/par/E12000004/ati/102/are/E06000015/iid/91323/age/2/sex/4","C24l - Newborn Blood Spot Screening - Coverage")</f>
        <v>C24l - Newborn Blood Spot Screening - Coverage</v>
      </c>
      <c r="C107" s="3" t="s">
        <v>143</v>
      </c>
      <c r="D107" s="2"/>
      <c r="E107" s="2" t="s">
        <v>65</v>
      </c>
      <c r="F107" s="2" t="s">
        <v>31</v>
      </c>
      <c r="G107" s="3" t="s">
        <v>67</v>
      </c>
      <c r="H107" s="15" t="s">
        <v>91</v>
      </c>
      <c r="I107" s="2" t="s">
        <v>114</v>
      </c>
      <c r="J107" s="16">
        <v>44228</v>
      </c>
    </row>
    <row r="108" spans="1:10" ht="45" x14ac:dyDescent="0.25">
      <c r="A108" s="17">
        <v>91324</v>
      </c>
      <c r="B108" s="5" t="str">
        <f>HYPERLINK("https://fingertips.phe.org.uk/profile/public-health-outcomes-framework/data#page/6/gid/1000042/pat/6/par/E12000004/ati/102/are/E06000015/iid/91324/age/2/sex/4","C24m - Newborn Hearing Screening - Coverage")</f>
        <v>C24m - Newborn Hearing Screening - Coverage</v>
      </c>
      <c r="C108" s="3" t="s">
        <v>143</v>
      </c>
      <c r="D108" s="2"/>
      <c r="E108" s="2" t="s">
        <v>8</v>
      </c>
      <c r="F108" s="2" t="s">
        <v>25</v>
      </c>
      <c r="G108" s="3" t="s">
        <v>67</v>
      </c>
      <c r="H108" s="15" t="s">
        <v>91</v>
      </c>
      <c r="I108" s="2" t="s">
        <v>114</v>
      </c>
      <c r="J108" s="16">
        <v>44228</v>
      </c>
    </row>
    <row r="109" spans="1:10" ht="45" x14ac:dyDescent="0.25">
      <c r="A109" s="17">
        <v>92371</v>
      </c>
      <c r="B109" s="5" t="str">
        <f>HYPERLINK("https://fingertips.phe.org.uk/profile/public-health-outcomes-framework/data#page/6/gid/1000042/pat/6/par/E12000004/ati/102/are/E06000015/iid/92371/age/2/sex/4","C24n - Newborn and Infant Physical Examination Screening - Coverage")</f>
        <v>C24n - Newborn and Infant Physical Examination Screening - Coverage</v>
      </c>
      <c r="C109" s="3" t="s">
        <v>143</v>
      </c>
      <c r="D109" s="2"/>
      <c r="E109" s="2" t="s">
        <v>65</v>
      </c>
      <c r="F109" s="2" t="s">
        <v>31</v>
      </c>
      <c r="G109" s="3" t="s">
        <v>67</v>
      </c>
      <c r="H109" s="15" t="s">
        <v>91</v>
      </c>
      <c r="I109" s="2" t="s">
        <v>114</v>
      </c>
      <c r="J109" s="16">
        <v>44228</v>
      </c>
    </row>
    <row r="110" spans="1:10" ht="45" x14ac:dyDescent="0.25">
      <c r="A110" s="17">
        <v>91099</v>
      </c>
      <c r="B110" s="5" t="str">
        <f>HYPERLINK("https://fingertips.phe.org.uk/profile/public-health-outcomes-framework/data#page/6/gid/1000042/pat/6/par/E12000004/ati/102/are/E06000015/iid/91099/age/219/sex/4","C26a - Cumulative percentage of the eligible population aged 40-74 offered an NHS Health Check")</f>
        <v>C26a - Cumulative percentage of the eligible population aged 40-74 offered an NHS Health Check</v>
      </c>
      <c r="C110" s="3" t="s">
        <v>176</v>
      </c>
      <c r="D110" s="2"/>
      <c r="E110" s="2" t="s">
        <v>8</v>
      </c>
      <c r="F110" s="2" t="s">
        <v>25</v>
      </c>
      <c r="G110" s="3" t="s">
        <v>68</v>
      </c>
      <c r="H110" s="15"/>
      <c r="I110" s="2" t="s">
        <v>114</v>
      </c>
      <c r="J110" s="16">
        <v>44105</v>
      </c>
    </row>
    <row r="111" spans="1:10" ht="45" x14ac:dyDescent="0.25">
      <c r="A111" s="17">
        <v>91100</v>
      </c>
      <c r="B111" s="5" t="str">
        <f>HYPERLINK("https://fingertips.phe.org.uk/profile/public-health-outcomes-framework/data#page/6/gid/1000042/pat/6/par/E12000004/ati/102/are/E06000015/iid/91100/age/219/sex/4","C26b - Cumulative percentage of the eligible population aged 40-74 offered an NHS Health Check who received an NHS Health Check")</f>
        <v>C26b - Cumulative percentage of the eligible population aged 40-74 offered an NHS Health Check who received an NHS Health Check</v>
      </c>
      <c r="C111" s="3" t="s">
        <v>176</v>
      </c>
      <c r="D111" s="2"/>
      <c r="E111" s="2" t="s">
        <v>8</v>
      </c>
      <c r="F111" s="2" t="s">
        <v>25</v>
      </c>
      <c r="G111" s="3" t="s">
        <v>68</v>
      </c>
      <c r="H111" s="15"/>
      <c r="I111" s="2" t="s">
        <v>114</v>
      </c>
      <c r="J111" s="16">
        <v>44105</v>
      </c>
    </row>
    <row r="112" spans="1:10" ht="45" x14ac:dyDescent="0.25">
      <c r="A112" s="17">
        <v>91101</v>
      </c>
      <c r="B112" s="5" t="str">
        <f>HYPERLINK("https://fingertips.phe.org.uk/profile/public-health-outcomes-framework/data#page/6/gid/1000042/pat/6/par/E12000004/ati/102/are/E06000015/iid/91101/age/219/sex/4","C26c - Cumulative percentage of the eligible population aged 40-74 who received an NHS Health check")</f>
        <v>C26c - Cumulative percentage of the eligible population aged 40-74 who received an NHS Health check</v>
      </c>
      <c r="C112" s="3" t="s">
        <v>176</v>
      </c>
      <c r="D112" s="2"/>
      <c r="E112" s="2" t="s">
        <v>8</v>
      </c>
      <c r="F112" s="2" t="s">
        <v>25</v>
      </c>
      <c r="G112" s="3" t="s">
        <v>68</v>
      </c>
      <c r="H112" s="15"/>
      <c r="I112" s="2" t="s">
        <v>114</v>
      </c>
      <c r="J112" s="16">
        <v>44105</v>
      </c>
    </row>
    <row r="113" spans="1:10" ht="105" x14ac:dyDescent="0.25">
      <c r="A113" s="17">
        <v>93377</v>
      </c>
      <c r="B113" s="5" t="str">
        <f>HYPERLINK("https://fingertips.phe.org.uk/profile/public-health-outcomes-framework/data#page/6/gid/1000042/pat/6/par/E12000004/ati/102/are/E06000015/iid/93377/age/168/sex/4","C27 - Percentage reporting a long term Musculoskeletal (MSK) problem")</f>
        <v>C27 - Percentage reporting a long term Musculoskeletal (MSK) problem</v>
      </c>
      <c r="C113" s="3">
        <v>2020</v>
      </c>
      <c r="D113" s="2"/>
      <c r="E113" s="2" t="s">
        <v>11</v>
      </c>
      <c r="F113" s="2" t="s">
        <v>69</v>
      </c>
      <c r="G113" s="3" t="s">
        <v>32</v>
      </c>
      <c r="H113" s="15" t="s">
        <v>91</v>
      </c>
      <c r="I113" s="2" t="s">
        <v>114</v>
      </c>
      <c r="J113" s="16">
        <v>44166</v>
      </c>
    </row>
    <row r="114" spans="1:10" ht="90" x14ac:dyDescent="0.25">
      <c r="A114" s="17">
        <v>22301</v>
      </c>
      <c r="B114" s="5" t="str">
        <f>HYPERLINK("https://fingertips.phe.org.uk/profile/public-health-outcomes-framework/data#page/6/gid/1000042/pat/6/par/E12000004/ati/102/are/E06000015/iid/22301/age/164/sex/4","C28a - Self-reported wellbeing - people with a low satisfaction score")</f>
        <v>C28a - Self-reported wellbeing - people with a low satisfaction score</v>
      </c>
      <c r="C114" s="3" t="s">
        <v>143</v>
      </c>
      <c r="D114" s="2"/>
      <c r="E114" s="2" t="s">
        <v>8</v>
      </c>
      <c r="F114" s="2" t="s">
        <v>70</v>
      </c>
      <c r="G114" s="3" t="s">
        <v>35</v>
      </c>
      <c r="H114" s="15" t="s">
        <v>91</v>
      </c>
      <c r="I114" s="2" t="s">
        <v>92</v>
      </c>
      <c r="J114" s="16">
        <v>44228</v>
      </c>
    </row>
    <row r="115" spans="1:10" ht="90" x14ac:dyDescent="0.25">
      <c r="A115" s="17">
        <v>22302</v>
      </c>
      <c r="B115" s="5" t="str">
        <f>HYPERLINK("https://fingertips.phe.org.uk/profile/public-health-outcomes-framework/data#page/6/gid/1000042/pat/6/par/E12000004/ati/102/are/E06000015/iid/22302/age/164/sex/4","C28b - Self-reported wellbeing - people with a low worthwhile score")</f>
        <v>C28b - Self-reported wellbeing - people with a low worthwhile score</v>
      </c>
      <c r="C115" s="3" t="s">
        <v>143</v>
      </c>
      <c r="D115" s="2"/>
      <c r="E115" s="2" t="s">
        <v>8</v>
      </c>
      <c r="F115" s="2" t="s">
        <v>70</v>
      </c>
      <c r="G115" s="3" t="s">
        <v>35</v>
      </c>
      <c r="H115" s="15" t="s">
        <v>91</v>
      </c>
      <c r="I115" s="2" t="s">
        <v>92</v>
      </c>
      <c r="J115" s="16">
        <v>44228</v>
      </c>
    </row>
    <row r="116" spans="1:10" ht="90" x14ac:dyDescent="0.25">
      <c r="A116" s="17">
        <v>22303</v>
      </c>
      <c r="B116" s="5" t="str">
        <f>HYPERLINK("https://fingertips.phe.org.uk/profile/public-health-outcomes-framework/data#page/6/gid/1000042/pat/6/par/E12000004/ati/102/are/E06000015/iid/22303/age/164/sex/4","C28c - Self-reported wellbeing - people with a low happiness score")</f>
        <v>C28c - Self-reported wellbeing - people with a low happiness score</v>
      </c>
      <c r="C116" s="3" t="s">
        <v>143</v>
      </c>
      <c r="D116" s="2"/>
      <c r="E116" s="2" t="s">
        <v>8</v>
      </c>
      <c r="F116" s="2" t="s">
        <v>70</v>
      </c>
      <c r="G116" s="3" t="s">
        <v>35</v>
      </c>
      <c r="H116" s="15" t="s">
        <v>91</v>
      </c>
      <c r="I116" s="2" t="s">
        <v>92</v>
      </c>
      <c r="J116" s="16">
        <v>44228</v>
      </c>
    </row>
    <row r="117" spans="1:10" ht="90" x14ac:dyDescent="0.25">
      <c r="A117" s="17">
        <v>22304</v>
      </c>
      <c r="B117" s="5" t="str">
        <f>HYPERLINK("https://fingertips.phe.org.uk/profile/public-health-outcomes-framework/data#page/6/gid/1000042/pat/6/par/E12000004/ati/102/are/E06000015/iid/22304/age/164/sex/4","C28d - Self-reported wellbeing - people with a high anxiety score")</f>
        <v>C28d - Self-reported wellbeing - people with a high anxiety score</v>
      </c>
      <c r="C117" s="3" t="s">
        <v>143</v>
      </c>
      <c r="D117" s="2"/>
      <c r="E117" s="2" t="s">
        <v>8</v>
      </c>
      <c r="F117" s="2" t="s">
        <v>70</v>
      </c>
      <c r="G117" s="3" t="s">
        <v>35</v>
      </c>
      <c r="H117" s="15" t="s">
        <v>91</v>
      </c>
      <c r="I117" s="2" t="s">
        <v>92</v>
      </c>
      <c r="J117" s="16">
        <v>44228</v>
      </c>
    </row>
    <row r="118" spans="1:10" ht="60" x14ac:dyDescent="0.25">
      <c r="A118" s="17">
        <v>22401</v>
      </c>
      <c r="B118" s="5" t="str">
        <f>HYPERLINK("https://fingertips.phe.org.uk/profile/public-health-outcomes-framework/data#page/6/gid/1000042/pat/6/par/E12000004/ati/102/are/E06000015/iid/22401/age/27/sex/4","C29 - Emergency hospital admissions due to falls in people aged 65 and over")</f>
        <v>C29 - Emergency hospital admissions due to falls in people aged 65 and over</v>
      </c>
      <c r="C118" s="3" t="s">
        <v>143</v>
      </c>
      <c r="D118" s="2"/>
      <c r="E118" s="2" t="s">
        <v>11</v>
      </c>
      <c r="F118" s="2" t="s">
        <v>12</v>
      </c>
      <c r="G118" s="3" t="s">
        <v>71</v>
      </c>
      <c r="H118" s="15" t="s">
        <v>93</v>
      </c>
      <c r="I118" s="2" t="s">
        <v>104</v>
      </c>
      <c r="J118" s="16">
        <v>44228</v>
      </c>
    </row>
    <row r="119" spans="1:10" ht="60" x14ac:dyDescent="0.25">
      <c r="A119" s="17">
        <v>22402</v>
      </c>
      <c r="B119" s="5" t="str">
        <f>HYPERLINK("https://fingertips.phe.org.uk/profile/public-health-outcomes-framework/data#page/6/gid/1000042/pat/6/par/E12000004/ati/102/are/E06000015/iid/22402/age/228/sex/4","C29 - Emergency hospital admissions due to falls in people aged 65-79")</f>
        <v>C29 - Emergency hospital admissions due to falls in people aged 65-79</v>
      </c>
      <c r="C119" s="3" t="s">
        <v>143</v>
      </c>
      <c r="D119" s="2"/>
      <c r="E119" s="2" t="s">
        <v>11</v>
      </c>
      <c r="F119" s="2" t="s">
        <v>12</v>
      </c>
      <c r="G119" s="3" t="s">
        <v>72</v>
      </c>
      <c r="H119" s="15" t="s">
        <v>93</v>
      </c>
      <c r="I119" s="2" t="s">
        <v>104</v>
      </c>
      <c r="J119" s="16">
        <v>44228</v>
      </c>
    </row>
    <row r="120" spans="1:10" ht="60" x14ac:dyDescent="0.25">
      <c r="A120" s="17">
        <v>22403</v>
      </c>
      <c r="B120" s="5" t="str">
        <f>HYPERLINK("https://fingertips.phe.org.uk/profile/public-health-outcomes-framework/data#page/6/gid/1000042/pat/6/par/E12000004/ati/102/are/E06000015/iid/22403/age/229/sex/4","C29 - Emergency hospital admissions due to falls in people aged 80+")</f>
        <v>C29 - Emergency hospital admissions due to falls in people aged 80+</v>
      </c>
      <c r="C120" s="3" t="s">
        <v>143</v>
      </c>
      <c r="D120" s="2"/>
      <c r="E120" s="2" t="s">
        <v>11</v>
      </c>
      <c r="F120" s="2" t="s">
        <v>12</v>
      </c>
      <c r="G120" s="3" t="s">
        <v>73</v>
      </c>
      <c r="H120" s="15" t="s">
        <v>93</v>
      </c>
      <c r="I120" s="2" t="s">
        <v>104</v>
      </c>
      <c r="J120" s="16">
        <v>44228</v>
      </c>
    </row>
    <row r="121" spans="1:10" ht="60" x14ac:dyDescent="0.25">
      <c r="A121" s="17">
        <v>30101</v>
      </c>
      <c r="B121" s="5" t="str">
        <f>HYPERLINK("https://fingertips.phe.org.uk/profile/public-health-outcomes-framework/data#page/6/gid/1000043/pat/6/par/E12000004/ati/102/are/E06000015/iid/30101/age/230/sex/4","D01 - Fraction of mortality attributable to particulate air pollution")</f>
        <v>D01 - Fraction of mortality attributable to particulate air pollution</v>
      </c>
      <c r="C121" s="3">
        <v>2019</v>
      </c>
      <c r="D121" s="2"/>
      <c r="E121" s="2" t="s">
        <v>11</v>
      </c>
      <c r="F121" s="2" t="s">
        <v>25</v>
      </c>
      <c r="G121" s="3" t="s">
        <v>76</v>
      </c>
      <c r="H121" s="15" t="s">
        <v>93</v>
      </c>
      <c r="I121" s="2" t="s">
        <v>118</v>
      </c>
      <c r="J121" s="16">
        <v>44228</v>
      </c>
    </row>
    <row r="122" spans="1:10" ht="60" x14ac:dyDescent="0.25">
      <c r="A122" s="17">
        <v>90776</v>
      </c>
      <c r="B122" s="5" t="str">
        <f>HYPERLINK("https://fingertips.phe.org.uk/profile/public-health-outcomes-framework/data#page/6/gid/1000043/pat/6/par/E12000004/ati/102/are/E06000015/iid/90776/age/156/sex/4","D02a - Chlamydia detection rate / 100,000 aged 15-24")</f>
        <v>D02a - Chlamydia detection rate / 100,000 aged 15-24</v>
      </c>
      <c r="C122" s="3">
        <v>2019</v>
      </c>
      <c r="D122" s="2"/>
      <c r="E122" s="2" t="s">
        <v>11</v>
      </c>
      <c r="F122" s="2" t="s">
        <v>25</v>
      </c>
      <c r="G122" s="3" t="s">
        <v>56</v>
      </c>
      <c r="H122" s="15"/>
      <c r="I122" s="2" t="s">
        <v>114</v>
      </c>
      <c r="J122" s="16">
        <v>44075</v>
      </c>
    </row>
    <row r="123" spans="1:10" ht="60" x14ac:dyDescent="0.25">
      <c r="A123" s="17">
        <v>91514</v>
      </c>
      <c r="B123" s="5" t="str">
        <f>HYPERLINK("https://fingertips.phe.org.uk/profile/public-health-outcomes-framework/data#page/6/gid/1000043/pat/6/par/E12000004/ati/102/are/E06000015/iid/91514/age/156/sex/1","D02a - Chlamydia detection rate / 100,000 aged 15-24")</f>
        <v>D02a - Chlamydia detection rate / 100,000 aged 15-24</v>
      </c>
      <c r="C123" s="3">
        <v>2019</v>
      </c>
      <c r="D123" s="2"/>
      <c r="E123" s="2" t="s">
        <v>11</v>
      </c>
      <c r="F123" s="2" t="s">
        <v>12</v>
      </c>
      <c r="G123" s="3" t="s">
        <v>56</v>
      </c>
      <c r="H123" s="15"/>
      <c r="I123" s="2" t="s">
        <v>114</v>
      </c>
      <c r="J123" s="16">
        <v>44075</v>
      </c>
    </row>
    <row r="124" spans="1:10" ht="60" x14ac:dyDescent="0.25">
      <c r="A124" s="17">
        <v>91306</v>
      </c>
      <c r="B124" s="5" t="str">
        <f>HYPERLINK("https://fingertips.phe.org.uk/profile/public-health-outcomes-framework/data#page/6/gid/1000043/pat/6/par/E12000004/ati/102/are/E06000015/iid/91306/age/182/sex/4","D02b - New STI diagnoses (exc chlamydia aged &lt;25) / 100,000")</f>
        <v>D02b - New STI diagnoses (exc chlamydia aged &lt;25) / 100,000</v>
      </c>
      <c r="C124" s="3">
        <v>2019</v>
      </c>
      <c r="D124" s="2"/>
      <c r="E124" s="2" t="s">
        <v>11</v>
      </c>
      <c r="F124" s="2" t="s">
        <v>25</v>
      </c>
      <c r="G124" s="3" t="s">
        <v>77</v>
      </c>
      <c r="H124" s="15" t="s">
        <v>91</v>
      </c>
      <c r="I124" s="2" t="s">
        <v>114</v>
      </c>
      <c r="J124" s="16">
        <v>44075</v>
      </c>
    </row>
    <row r="125" spans="1:10" ht="45" x14ac:dyDescent="0.25">
      <c r="A125" s="17">
        <v>92897</v>
      </c>
      <c r="B125" s="5" t="str">
        <f>HYPERLINK("https://fingertips.phe.org.uk/profile/public-health-outcomes-framework/data#page/6/gid/1000043/pat/6/par/E12000004/ati/102/are/E06000015/iid/92897/age/30/sex/4","D03a - Population vaccination coverage - BCG - areas offering universal BCG only")</f>
        <v>D03a - Population vaccination coverage - BCG - areas offering universal BCG only</v>
      </c>
      <c r="C125" s="3" t="s">
        <v>143</v>
      </c>
      <c r="D125" s="2"/>
      <c r="E125" s="2" t="s">
        <v>14</v>
      </c>
      <c r="F125" s="2" t="s">
        <v>31</v>
      </c>
      <c r="G125" s="3" t="s">
        <v>78</v>
      </c>
      <c r="H125" s="15" t="s">
        <v>91</v>
      </c>
      <c r="I125" s="2" t="s">
        <v>119</v>
      </c>
      <c r="J125" s="16">
        <v>44136</v>
      </c>
    </row>
    <row r="126" spans="1:10" ht="30" x14ac:dyDescent="0.25">
      <c r="A126" s="17">
        <v>30301</v>
      </c>
      <c r="B126" s="5" t="str">
        <f>HYPERLINK("https://fingertips.phe.org.uk/profile/public-health-outcomes-framework/data#page/6/gid/1000043/pat/6/par/E12000004/ati/102/are/E06000015/iid/30301/age/30/sex/4","D03b - Population vaccination coverage - Hepatitis B (1 year old)")</f>
        <v>D03b - Population vaccination coverage - Hepatitis B (1 year old)</v>
      </c>
      <c r="C126" s="3" t="s">
        <v>143</v>
      </c>
      <c r="D126" s="2"/>
      <c r="E126" s="2" t="s">
        <v>79</v>
      </c>
      <c r="F126" s="2"/>
      <c r="G126" s="3" t="s">
        <v>78</v>
      </c>
      <c r="H126" s="15" t="s">
        <v>91</v>
      </c>
      <c r="I126" s="2" t="s">
        <v>119</v>
      </c>
      <c r="J126" s="16">
        <v>44136</v>
      </c>
    </row>
    <row r="127" spans="1:10" ht="45" x14ac:dyDescent="0.25">
      <c r="A127" s="17">
        <v>30303</v>
      </c>
      <c r="B127" s="5" t="str">
        <f>HYPERLINK("https://fingertips.phe.org.uk/profile/public-health-outcomes-framework/data#page/6/gid/1000043/pat/6/par/E12000004/ati/102/are/E06000015/iid/30303/age/30/sex/4","D03c - Population vaccination coverage - Dtap / IPV / Hib (1 year old)")</f>
        <v>D03c - Population vaccination coverage - Dtap / IPV / Hib (1 year old)</v>
      </c>
      <c r="C127" s="3" t="s">
        <v>143</v>
      </c>
      <c r="D127" s="2"/>
      <c r="E127" s="2" t="s">
        <v>8</v>
      </c>
      <c r="F127" s="2" t="s">
        <v>25</v>
      </c>
      <c r="G127" s="3" t="s">
        <v>78</v>
      </c>
      <c r="H127" s="15" t="s">
        <v>91</v>
      </c>
      <c r="I127" s="2" t="s">
        <v>119</v>
      </c>
      <c r="J127" s="16">
        <v>44136</v>
      </c>
    </row>
    <row r="128" spans="1:10" ht="45" x14ac:dyDescent="0.25">
      <c r="A128" s="17">
        <v>93606</v>
      </c>
      <c r="B128" s="43" t="str">
        <f>HYPERLINK("https://fingertips.phe.org.uk/profile/public-health-outcomes-framework/data#page/6/gid/1000043/pat/6/par/E12000004/ati/102/are/E06000015/iid/93606/age/30/sex/4","D03d - Population vaccination coverage - MenB (1 year)")</f>
        <v>D03d - Population vaccination coverage - MenB (1 year)</v>
      </c>
      <c r="C128" s="29" t="s">
        <v>143</v>
      </c>
      <c r="D128" s="30"/>
      <c r="E128" s="30" t="s">
        <v>8</v>
      </c>
      <c r="F128" s="30" t="s">
        <v>31</v>
      </c>
      <c r="G128" s="29" t="s">
        <v>78</v>
      </c>
      <c r="H128" s="31" t="s">
        <v>91</v>
      </c>
      <c r="I128" s="30" t="s">
        <v>97</v>
      </c>
      <c r="J128" s="16">
        <v>44136</v>
      </c>
    </row>
    <row r="129" spans="1:10" ht="45" x14ac:dyDescent="0.25">
      <c r="A129" s="17">
        <v>93608</v>
      </c>
      <c r="B129" s="43" t="str">
        <f>HYPERLINK("https://fingertips.phe.org.uk/profile/public-health-outcomes-framework/data#page/6/gid/1000043/pat/6/par/E12000004/ati/102/are/E06000015/iid/93608/age/30/sex/4","D03e - Population vaccination coverage - Rotavirus (Rota) (1 year)")</f>
        <v>D03e - Population vaccination coverage - Rotavirus (Rota) (1 year)</v>
      </c>
      <c r="C129" s="29" t="s">
        <v>143</v>
      </c>
      <c r="D129" s="30"/>
      <c r="E129" s="30" t="s">
        <v>8</v>
      </c>
      <c r="F129" s="30" t="s">
        <v>31</v>
      </c>
      <c r="G129" s="29" t="s">
        <v>78</v>
      </c>
      <c r="H129" s="31" t="s">
        <v>91</v>
      </c>
      <c r="I129" s="30" t="s">
        <v>97</v>
      </c>
      <c r="J129" s="16">
        <v>44136</v>
      </c>
    </row>
    <row r="130" spans="1:10" ht="45" x14ac:dyDescent="0.25">
      <c r="A130" s="17">
        <v>30306</v>
      </c>
      <c r="B130" s="5" t="str">
        <f>HYPERLINK("https://fingertips.phe.org.uk/profile/public-health-outcomes-framework/data#page/6/gid/1000043/pat/6/par/E12000004/ati/102/are/E06000015/iid/30306/age/30/sex/4","D03f - Population vaccination coverage - PCV")</f>
        <v>D03f - Population vaccination coverage - PCV</v>
      </c>
      <c r="C130" s="3" t="s">
        <v>143</v>
      </c>
      <c r="D130" s="2"/>
      <c r="E130" s="2" t="s">
        <v>8</v>
      </c>
      <c r="F130" s="2" t="s">
        <v>25</v>
      </c>
      <c r="G130" s="3" t="s">
        <v>78</v>
      </c>
      <c r="H130" s="15" t="s">
        <v>91</v>
      </c>
      <c r="I130" s="2" t="s">
        <v>119</v>
      </c>
      <c r="J130" s="16">
        <v>44136</v>
      </c>
    </row>
    <row r="131" spans="1:10" ht="30" x14ac:dyDescent="0.25">
      <c r="A131" s="17">
        <v>30302</v>
      </c>
      <c r="B131" s="5" t="str">
        <f>HYPERLINK("https://fingertips.phe.org.uk/profile/public-health-outcomes-framework/data#page/6/gid/1000043/pat/6/par/E12000004/ati/102/are/E06000015/iid/30302/age/31/sex/4","D03g - Population vaccination coverage - Hepatitis B (2 years old)")</f>
        <v>D03g - Population vaccination coverage - Hepatitis B (2 years old)</v>
      </c>
      <c r="C131" s="3" t="s">
        <v>143</v>
      </c>
      <c r="D131" s="2"/>
      <c r="E131" s="2" t="s">
        <v>79</v>
      </c>
      <c r="F131" s="2"/>
      <c r="G131" s="3" t="s">
        <v>80</v>
      </c>
      <c r="H131" s="15" t="s">
        <v>91</v>
      </c>
      <c r="I131" s="2" t="s">
        <v>119</v>
      </c>
      <c r="J131" s="16">
        <v>44136</v>
      </c>
    </row>
    <row r="132" spans="1:10" ht="45" x14ac:dyDescent="0.25">
      <c r="A132" s="17">
        <v>30304</v>
      </c>
      <c r="B132" s="5" t="str">
        <f>HYPERLINK("https://fingertips.phe.org.uk/profile/public-health-outcomes-framework/data#page/6/gid/1000043/pat/6/par/E12000004/ati/102/are/E06000015/iid/30304/age/31/sex/4","D03h - Population vaccination coverage - Dtap / IPV / Hib (2 years old)")</f>
        <v>D03h - Population vaccination coverage - Dtap / IPV / Hib (2 years old)</v>
      </c>
      <c r="C132" s="3" t="s">
        <v>143</v>
      </c>
      <c r="D132" s="2"/>
      <c r="E132" s="2" t="s">
        <v>8</v>
      </c>
      <c r="F132" s="2" t="s">
        <v>25</v>
      </c>
      <c r="G132" s="3" t="s">
        <v>80</v>
      </c>
      <c r="H132" s="15" t="s">
        <v>91</v>
      </c>
      <c r="I132" s="2" t="s">
        <v>119</v>
      </c>
      <c r="J132" s="16">
        <v>44136</v>
      </c>
    </row>
    <row r="133" spans="1:10" ht="45" x14ac:dyDescent="0.25">
      <c r="A133" s="17">
        <v>93605</v>
      </c>
      <c r="B133" s="5" t="str">
        <f>HYPERLINK("https://fingertips.phe.org.uk/profile/public-health-outcomes-framework/data#page/6/gid/1000043/pat/6/par/E12000004/ati/102/are/E06000015/iid/93605/age/31/sex/4","D03i - Population vaccination coverage - MenB booster (2 years)")</f>
        <v>D03i - Population vaccination coverage - MenB booster (2 years)</v>
      </c>
      <c r="C133" s="3" t="s">
        <v>143</v>
      </c>
      <c r="D133" s="2"/>
      <c r="E133" s="2" t="s">
        <v>8</v>
      </c>
      <c r="F133" s="2" t="s">
        <v>31</v>
      </c>
      <c r="G133" s="3" t="s">
        <v>80</v>
      </c>
      <c r="H133" s="15" t="s">
        <v>91</v>
      </c>
      <c r="I133" s="2" t="s">
        <v>97</v>
      </c>
      <c r="J133" s="16">
        <v>44136</v>
      </c>
    </row>
    <row r="134" spans="1:10" ht="45" x14ac:dyDescent="0.25">
      <c r="A134" s="17">
        <v>30309</v>
      </c>
      <c r="B134" s="5" t="str">
        <f>HYPERLINK("https://fingertips.phe.org.uk/profile/public-health-outcomes-framework/data#page/6/gid/1000043/pat/6/par/E12000004/ati/102/are/E06000015/iid/30309/age/31/sex/4","D03j - Population vaccination coverage - MMR for one dose (2 years old)")</f>
        <v>D03j - Population vaccination coverage - MMR for one dose (2 years old)</v>
      </c>
      <c r="C134" s="3" t="s">
        <v>143</v>
      </c>
      <c r="D134" s="2"/>
      <c r="E134" s="2" t="s">
        <v>8</v>
      </c>
      <c r="F134" s="2" t="s">
        <v>25</v>
      </c>
      <c r="G134" s="3" t="s">
        <v>80</v>
      </c>
      <c r="H134" s="15" t="s">
        <v>91</v>
      </c>
      <c r="I134" s="2" t="s">
        <v>119</v>
      </c>
      <c r="J134" s="16">
        <v>44136</v>
      </c>
    </row>
    <row r="135" spans="1:10" ht="45" x14ac:dyDescent="0.25">
      <c r="A135" s="17">
        <v>30308</v>
      </c>
      <c r="B135" s="5" t="str">
        <f>HYPERLINK("https://fingertips.phe.org.uk/profile/public-health-outcomes-framework/data#page/6/gid/1000043/pat/6/par/E12000004/ati/102/are/E06000015/iid/30308/age/31/sex/4","D03k - Population vaccination coverage - PCV booster")</f>
        <v>D03k - Population vaccination coverage - PCV booster</v>
      </c>
      <c r="C135" s="3" t="s">
        <v>143</v>
      </c>
      <c r="D135" s="2"/>
      <c r="E135" s="2" t="s">
        <v>8</v>
      </c>
      <c r="F135" s="2" t="s">
        <v>25</v>
      </c>
      <c r="G135" s="3" t="s">
        <v>80</v>
      </c>
      <c r="H135" s="15" t="s">
        <v>91</v>
      </c>
      <c r="I135" s="2" t="s">
        <v>119</v>
      </c>
      <c r="J135" s="16">
        <v>44136</v>
      </c>
    </row>
    <row r="136" spans="1:10" ht="45" x14ac:dyDescent="0.25">
      <c r="A136" s="17">
        <v>93386</v>
      </c>
      <c r="B136" s="5" t="str">
        <f>HYPERLINK("https://fingertips.phe.org.uk/profile/public-health-outcomes-framework/data#page/6/gid/1000043/pat/6/par/E12000004/ati/102/are/E06000015/iid/93386/age/243/sex/4","D03l - Population vaccination coverage - Flu (2-3 years old)")</f>
        <v>D03l - Population vaccination coverage - Flu (2-3 years old)</v>
      </c>
      <c r="C136" s="3" t="s">
        <v>143</v>
      </c>
      <c r="D136" s="2"/>
      <c r="E136" s="2" t="s">
        <v>8</v>
      </c>
      <c r="F136" s="2" t="s">
        <v>25</v>
      </c>
      <c r="G136" s="3" t="s">
        <v>81</v>
      </c>
      <c r="H136" s="15" t="s">
        <v>91</v>
      </c>
      <c r="I136" s="2" t="s">
        <v>119</v>
      </c>
      <c r="J136" s="16">
        <v>44044</v>
      </c>
    </row>
    <row r="137" spans="1:10" ht="45" x14ac:dyDescent="0.25">
      <c r="A137" s="17">
        <v>30307</v>
      </c>
      <c r="B137" s="5" t="str">
        <f>HYPERLINK("https://fingertips.phe.org.uk/profile/public-health-outcomes-framework/data#page/6/gid/1000043/pat/6/par/E12000004/ati/102/are/E06000015/iid/30307/age/31/sex/4","D03m - Population vaccination coverage - Hib / MenC booster (2 years old)")</f>
        <v>D03m - Population vaccination coverage - Hib / MenC booster (2 years old)</v>
      </c>
      <c r="C137" s="3" t="s">
        <v>143</v>
      </c>
      <c r="D137" s="2"/>
      <c r="E137" s="2" t="s">
        <v>8</v>
      </c>
      <c r="F137" s="2" t="s">
        <v>31</v>
      </c>
      <c r="G137" s="3" t="s">
        <v>80</v>
      </c>
      <c r="H137" s="15" t="s">
        <v>91</v>
      </c>
      <c r="I137" s="2" t="s">
        <v>119</v>
      </c>
      <c r="J137" s="16">
        <v>44136</v>
      </c>
    </row>
    <row r="138" spans="1:10" ht="45" x14ac:dyDescent="0.25">
      <c r="A138" s="17">
        <v>93607</v>
      </c>
      <c r="B138" s="5" t="str">
        <f>HYPERLINK("https://fingertips.phe.org.uk/profile/public-health-outcomes-framework/data#page/6/gid/1000043/pat/6/par/E12000004/ati/102/are/E06000015/iid/93607/age/34/sex/4","D04a - Population vaccination coverage - DTaP/IPV booster (5 years)")</f>
        <v>D04a - Population vaccination coverage - DTaP/IPV booster (5 years)</v>
      </c>
      <c r="C138" s="3" t="s">
        <v>143</v>
      </c>
      <c r="D138" s="2"/>
      <c r="E138" s="2" t="s">
        <v>8</v>
      </c>
      <c r="F138" s="2" t="s">
        <v>31</v>
      </c>
      <c r="G138" s="3" t="s">
        <v>17</v>
      </c>
      <c r="H138" s="15" t="s">
        <v>91</v>
      </c>
      <c r="I138" s="2" t="s">
        <v>97</v>
      </c>
      <c r="J138" s="16">
        <v>44136</v>
      </c>
    </row>
    <row r="139" spans="1:10" ht="45" x14ac:dyDescent="0.25">
      <c r="A139" s="17">
        <v>30310</v>
      </c>
      <c r="B139" s="5" t="str">
        <f>HYPERLINK("https://fingertips.phe.org.uk/profile/public-health-outcomes-framework/data#page/6/gid/1000043/pat/6/par/E12000004/ati/102/are/E06000015/iid/30310/age/34/sex/4","D04b - Population vaccination coverage - MMR for one dose (5 years old)")</f>
        <v>D04b - Population vaccination coverage - MMR for one dose (5 years old)</v>
      </c>
      <c r="C139" s="3" t="s">
        <v>143</v>
      </c>
      <c r="D139" s="2"/>
      <c r="E139" s="2" t="s">
        <v>8</v>
      </c>
      <c r="F139" s="2" t="s">
        <v>25</v>
      </c>
      <c r="G139" s="3" t="s">
        <v>17</v>
      </c>
      <c r="H139" s="15" t="s">
        <v>91</v>
      </c>
      <c r="I139" s="2" t="s">
        <v>119</v>
      </c>
      <c r="J139" s="16">
        <v>44136</v>
      </c>
    </row>
    <row r="140" spans="1:10" ht="45" x14ac:dyDescent="0.25">
      <c r="A140" s="17">
        <v>30311</v>
      </c>
      <c r="B140" s="5" t="str">
        <f>HYPERLINK("https://fingertips.phe.org.uk/profile/public-health-outcomes-framework/data#page/6/gid/1000043/pat/6/par/E12000004/ati/102/are/E06000015/iid/30311/age/34/sex/4","D04c - Population vaccination coverage - MMR for two doses (5 years old)")</f>
        <v>D04c - Population vaccination coverage - MMR for two doses (5 years old)</v>
      </c>
      <c r="C140" s="3" t="s">
        <v>143</v>
      </c>
      <c r="D140" s="2"/>
      <c r="E140" s="2" t="s">
        <v>8</v>
      </c>
      <c r="F140" s="2" t="s">
        <v>25</v>
      </c>
      <c r="G140" s="3" t="s">
        <v>17</v>
      </c>
      <c r="H140" s="15" t="s">
        <v>91</v>
      </c>
      <c r="I140" s="2" t="s">
        <v>119</v>
      </c>
      <c r="J140" s="16">
        <v>44136</v>
      </c>
    </row>
    <row r="141" spans="1:10" ht="60" x14ac:dyDescent="0.25">
      <c r="A141" s="17">
        <v>93691</v>
      </c>
      <c r="B141" s="5" t="s">
        <v>142</v>
      </c>
      <c r="C141" s="3">
        <v>2019</v>
      </c>
      <c r="D141" s="2" t="s">
        <v>148</v>
      </c>
      <c r="E141" s="2" t="s">
        <v>11</v>
      </c>
      <c r="F141" s="2" t="s">
        <v>162</v>
      </c>
      <c r="G141" s="3" t="s">
        <v>149</v>
      </c>
      <c r="H141" s="15" t="s">
        <v>91</v>
      </c>
      <c r="I141" s="2" t="s">
        <v>147</v>
      </c>
      <c r="J141" s="16">
        <v>44044</v>
      </c>
    </row>
    <row r="142" spans="1:10" ht="45" x14ac:dyDescent="0.25">
      <c r="A142" s="17">
        <v>92319</v>
      </c>
      <c r="B142" s="5" t="str">
        <f>HYPERLINK("https://fingertips.phe.org.uk/profile/public-health-outcomes-framework/data#page/6/gid/1000043/pat/6/par/E12000004/ati/102/are/E06000015/iid/92319/age/206/sex/2","D04e - Population vaccination coverage - HPV vaccination coverage for one dose (females 12-13 years old)")</f>
        <v>D04e - Population vaccination coverage - HPV vaccination coverage for one dose (females 12-13 years old)</v>
      </c>
      <c r="C142" s="3" t="s">
        <v>15</v>
      </c>
      <c r="D142" s="2"/>
      <c r="E142" s="2" t="s">
        <v>8</v>
      </c>
      <c r="F142" s="2" t="s">
        <v>31</v>
      </c>
      <c r="G142" s="3" t="s">
        <v>82</v>
      </c>
      <c r="H142" s="15" t="s">
        <v>91</v>
      </c>
      <c r="I142" s="2" t="s">
        <v>120</v>
      </c>
      <c r="J142" s="16">
        <v>43862</v>
      </c>
    </row>
    <row r="143" spans="1:10" ht="45" x14ac:dyDescent="0.25">
      <c r="A143" s="17">
        <v>92896</v>
      </c>
      <c r="B143" s="5" t="str">
        <f>HYPERLINK("https://fingertips.phe.org.uk/profile/public-health-outcomes-framework/data#page/6/gid/1000043/pat/6/par/E12000004/ati/102/are/E06000015/iid/92896/age/296/sex/2","D04f - Population vaccination coverage - HPV vaccination coverage for two doses (females 13-14 years old)")</f>
        <v>D04f - Population vaccination coverage - HPV vaccination coverage for two doses (females 13-14 years old)</v>
      </c>
      <c r="C143" s="3" t="s">
        <v>15</v>
      </c>
      <c r="D143" s="2"/>
      <c r="E143" s="2" t="s">
        <v>8</v>
      </c>
      <c r="F143" s="2" t="s">
        <v>31</v>
      </c>
      <c r="G143" s="3" t="s">
        <v>83</v>
      </c>
      <c r="H143" s="15" t="s">
        <v>91</v>
      </c>
      <c r="I143" s="2" t="s">
        <v>120</v>
      </c>
      <c r="J143" s="16">
        <v>43862</v>
      </c>
    </row>
    <row r="144" spans="1:10" ht="45" x14ac:dyDescent="0.25">
      <c r="A144" s="17">
        <v>93648</v>
      </c>
      <c r="B144" s="5" t="str">
        <f>HYPERLINK("https://fingertips.phe.org.uk/profile/public-health-outcomes-framework/data#page/6/gid/1000043/pat/6/par/E12000004/ati/102/are/E06000015/iid/93648/age/311/sex/4","D04g - Population vaccination coverage - Meningococcal ACWY conjugate vaccine (MenACWY) (14-15 years)")</f>
        <v>D04g - Population vaccination coverage - Meningococcal ACWY conjugate vaccine (MenACWY) (14-15 years)</v>
      </c>
      <c r="C144" s="3" t="s">
        <v>15</v>
      </c>
      <c r="D144" s="2"/>
      <c r="E144" s="2" t="s">
        <v>8</v>
      </c>
      <c r="F144" s="2" t="s">
        <v>31</v>
      </c>
      <c r="G144" s="3" t="s">
        <v>144</v>
      </c>
      <c r="H144" s="15"/>
      <c r="I144" s="2" t="s">
        <v>120</v>
      </c>
      <c r="J144" s="16">
        <v>43952</v>
      </c>
    </row>
    <row r="145" spans="1:10" ht="45" x14ac:dyDescent="0.25">
      <c r="A145" s="17">
        <v>30315</v>
      </c>
      <c r="B145" s="5" t="str">
        <f>HYPERLINK("https://fingertips.phe.org.uk/profile/public-health-outcomes-framework/data#page/6/gid/1000043/pat/6/par/E12000004/ati/102/are/E06000015/iid/30315/age/226/sex/4","D05 - Population vaccination coverage - Flu (at risk individuals)")</f>
        <v>D05 - Population vaccination coverage - Flu (at risk individuals)</v>
      </c>
      <c r="C145" s="3" t="s">
        <v>143</v>
      </c>
      <c r="D145" s="2"/>
      <c r="E145" s="2" t="s">
        <v>8</v>
      </c>
      <c r="F145" s="2" t="s">
        <v>25</v>
      </c>
      <c r="G145" s="3" t="s">
        <v>84</v>
      </c>
      <c r="H145" s="15" t="s">
        <v>91</v>
      </c>
      <c r="I145" s="2" t="s">
        <v>120</v>
      </c>
      <c r="J145" s="16">
        <v>44044</v>
      </c>
    </row>
    <row r="146" spans="1:10" ht="45" x14ac:dyDescent="0.25">
      <c r="A146" s="17">
        <v>30314</v>
      </c>
      <c r="B146" s="5" t="str">
        <f>HYPERLINK("https://fingertips.phe.org.uk/profile/public-health-outcomes-framework/data#page/6/gid/1000043/pat/6/par/E12000004/ati/102/are/E06000015/iid/30314/age/27/sex/4","D06a - Population vaccination coverage - Flu (aged 65+)")</f>
        <v>D06a - Population vaccination coverage - Flu (aged 65+)</v>
      </c>
      <c r="C146" s="3" t="s">
        <v>143</v>
      </c>
      <c r="D146" s="2"/>
      <c r="E146" s="2" t="s">
        <v>8</v>
      </c>
      <c r="F146" s="2" t="s">
        <v>25</v>
      </c>
      <c r="G146" s="3" t="s">
        <v>71</v>
      </c>
      <c r="H146" s="15" t="s">
        <v>91</v>
      </c>
      <c r="I146" s="2" t="s">
        <v>120</v>
      </c>
      <c r="J146" s="16">
        <v>44044</v>
      </c>
    </row>
    <row r="147" spans="1:10" ht="45" x14ac:dyDescent="0.25">
      <c r="A147" s="17">
        <v>30313</v>
      </c>
      <c r="B147" s="5" t="str">
        <f>HYPERLINK("https://fingertips.phe.org.uk/profile/public-health-outcomes-framework/data#page/6/gid/1000043/pat/6/par/E12000004/ati/102/are/E06000015/iid/30313/age/27/sex/4","D06b - Population vaccination coverage - PPV")</f>
        <v>D06b - Population vaccination coverage - PPV</v>
      </c>
      <c r="C147" s="3" t="s">
        <v>143</v>
      </c>
      <c r="D147" s="2"/>
      <c r="E147" s="2" t="s">
        <v>8</v>
      </c>
      <c r="F147" s="2" t="s">
        <v>31</v>
      </c>
      <c r="G147" s="3" t="s">
        <v>71</v>
      </c>
      <c r="H147" s="15" t="s">
        <v>91</v>
      </c>
      <c r="I147" s="2" t="s">
        <v>120</v>
      </c>
      <c r="J147" s="16">
        <v>44136</v>
      </c>
    </row>
    <row r="148" spans="1:10" ht="45" x14ac:dyDescent="0.25">
      <c r="A148" s="17">
        <v>92324</v>
      </c>
      <c r="B148" s="37" t="str">
        <f>HYPERLINK("https://fingertips.phe.org.uk/profile/public-health-outcomes-framework/data#page/6/gid/1000043/pat/6/par/E12000004/ati/102/are/E06000015/iid/92324/age/99/sex/4","D06c - Population vaccination coverage - Shingles vaccination coverage (71 years old)")</f>
        <v>D06c - Population vaccination coverage - Shingles vaccination coverage (71 years old)</v>
      </c>
      <c r="C148" s="3" t="s">
        <v>15</v>
      </c>
      <c r="D148" s="2"/>
      <c r="E148" s="2" t="s">
        <v>8</v>
      </c>
      <c r="F148" s="2" t="s">
        <v>31</v>
      </c>
      <c r="G148" s="3">
        <v>71</v>
      </c>
      <c r="H148" s="15" t="s">
        <v>91</v>
      </c>
      <c r="I148" s="2" t="s">
        <v>120</v>
      </c>
      <c r="J148" s="16">
        <v>44228</v>
      </c>
    </row>
    <row r="149" spans="1:10" ht="75" x14ac:dyDescent="0.25">
      <c r="A149" s="17">
        <v>90791</v>
      </c>
      <c r="B149" s="5" t="str">
        <f>HYPERLINK("https://fingertips.phe.org.uk/profile/public-health-outcomes-framework/data#page/6/gid/1000043/pat/6/par/E12000004/ati/102/are/E06000015/iid/90791/age/188/sex/4","D07 - HIV late diagnosis (%)")</f>
        <v>D07 - HIV late diagnosis (%)</v>
      </c>
      <c r="C149" s="3" t="s">
        <v>154</v>
      </c>
      <c r="D149" s="2"/>
      <c r="E149" s="2" t="s">
        <v>11</v>
      </c>
      <c r="F149" s="2" t="s">
        <v>85</v>
      </c>
      <c r="G149" s="3" t="s">
        <v>86</v>
      </c>
      <c r="H149" s="15"/>
      <c r="I149" s="2" t="s">
        <v>114</v>
      </c>
      <c r="J149" s="16">
        <v>44136</v>
      </c>
    </row>
    <row r="150" spans="1:10" ht="60" x14ac:dyDescent="0.25">
      <c r="A150" s="17">
        <v>91367</v>
      </c>
      <c r="B150" s="5" t="str">
        <f>HYPERLINK("https://fingertips.phe.org.uk/profile/public-health-outcomes-framework/data#page/6/gid/1000043/pat/6/par/E12000004/ati/102/are/E06000015/iid/91367/age/1/sex/4","D08a - Proportion of drug sensitive TB cases who had completed a full course of treatment by 12 months")</f>
        <v>D08a - Proportion of drug sensitive TB cases who had completed a full course of treatment by 12 months</v>
      </c>
      <c r="C150" s="3">
        <v>2018</v>
      </c>
      <c r="D150" s="2"/>
      <c r="E150" s="2" t="s">
        <v>11</v>
      </c>
      <c r="F150" s="2" t="s">
        <v>25</v>
      </c>
      <c r="G150" s="3" t="s">
        <v>10</v>
      </c>
      <c r="H150" s="15" t="s">
        <v>93</v>
      </c>
      <c r="I150" s="2" t="s">
        <v>114</v>
      </c>
      <c r="J150" s="16">
        <v>44136</v>
      </c>
    </row>
    <row r="151" spans="1:10" ht="60" x14ac:dyDescent="0.25">
      <c r="A151" s="17">
        <v>91361</v>
      </c>
      <c r="B151" s="5" t="str">
        <f>HYPERLINK("https://fingertips.phe.org.uk/profile/public-health-outcomes-framework/data#page/6/gid/1000043/pat/6/par/E12000004/ati/102/are/E06000015/iid/91361/age/1/sex/4","D08b - TB incidence (three year average)")</f>
        <v>D08b - TB incidence (three year average)</v>
      </c>
      <c r="C151" s="3" t="s">
        <v>154</v>
      </c>
      <c r="D151" s="2"/>
      <c r="E151" s="2" t="s">
        <v>11</v>
      </c>
      <c r="F151" s="2" t="s">
        <v>31</v>
      </c>
      <c r="G151" s="3" t="s">
        <v>10</v>
      </c>
      <c r="H151" s="15" t="s">
        <v>93</v>
      </c>
      <c r="I151" s="2" t="s">
        <v>114</v>
      </c>
      <c r="J151" s="16">
        <v>44136</v>
      </c>
    </row>
    <row r="152" spans="1:10" ht="60" x14ac:dyDescent="0.25">
      <c r="A152" s="17">
        <v>30601</v>
      </c>
      <c r="B152" s="5" t="str">
        <f>HYPERLINK("https://fingertips.phe.org.uk/profile/public-health-outcomes-framework/data#page/6/gid/1000043/pat/6/par/E12000004/ati/102/are/E06000015/iid/30601/age/-1/sex/-1","D09 - NHS organisations with a board approved sustainable development management plan")</f>
        <v>D09 - NHS organisations with a board approved sustainable development management plan</v>
      </c>
      <c r="C152" s="3" t="s">
        <v>37</v>
      </c>
      <c r="D152" s="2"/>
      <c r="E152" s="2" t="s">
        <v>8</v>
      </c>
      <c r="F152" s="2" t="s">
        <v>25</v>
      </c>
      <c r="G152" s="3" t="s">
        <v>39</v>
      </c>
      <c r="H152" s="15" t="s">
        <v>93</v>
      </c>
      <c r="I152" s="2" t="s">
        <v>128</v>
      </c>
      <c r="J152" s="16">
        <v>42856</v>
      </c>
    </row>
    <row r="153" spans="1:10" ht="60" x14ac:dyDescent="0.25">
      <c r="A153" s="17">
        <v>92670</v>
      </c>
      <c r="B153" s="5" t="str">
        <f>HYPERLINK("https://fingertips.phe.org.uk/profile/public-health-outcomes-framework/data#page/6/gid/1000043/pat/6/par/E12000004/ati/102/are/E06000015/iid/92670/age/1/sex/4","D10 - Adjusted antibiotic prescribing in primary care by the NHS")</f>
        <v>D10 - Adjusted antibiotic prescribing in primary care by the NHS</v>
      </c>
      <c r="C153" s="3">
        <v>2019</v>
      </c>
      <c r="D153" s="2"/>
      <c r="E153" s="2" t="s">
        <v>11</v>
      </c>
      <c r="F153" s="2" t="s">
        <v>25</v>
      </c>
      <c r="G153" s="3" t="s">
        <v>10</v>
      </c>
      <c r="H153" s="15" t="s">
        <v>93</v>
      </c>
      <c r="I153" s="2" t="s">
        <v>121</v>
      </c>
      <c r="J153" s="16">
        <v>44044</v>
      </c>
    </row>
    <row r="154" spans="1:10" ht="60" x14ac:dyDescent="0.25">
      <c r="A154" s="17">
        <v>92196</v>
      </c>
      <c r="B154" s="5" t="str">
        <f>HYPERLINK("https://fingertips.phe.org.uk/profile/public-health-outcomes-framework/data#page/6/gid/1000044/pat/6/par/E12000004/ati/102/are/E06000015/iid/92196/age/2/sex/4","E01 - Infant mortality rate")</f>
        <v>E01 - Infant mortality rate</v>
      </c>
      <c r="C154" s="3" t="s">
        <v>154</v>
      </c>
      <c r="D154" s="2"/>
      <c r="E154" s="2" t="s">
        <v>11</v>
      </c>
      <c r="F154" s="2" t="s">
        <v>25</v>
      </c>
      <c r="G154" s="3" t="s">
        <v>67</v>
      </c>
      <c r="H154" s="15" t="s">
        <v>93</v>
      </c>
      <c r="I154" s="2" t="s">
        <v>102</v>
      </c>
      <c r="J154" s="16">
        <v>44136</v>
      </c>
    </row>
    <row r="155" spans="1:10" ht="60" x14ac:dyDescent="0.25">
      <c r="A155" s="17">
        <v>93563</v>
      </c>
      <c r="B155" s="5" t="str">
        <f>HYPERLINK("https://fingertips.phe.org.uk/profile/public-health-outcomes-framework/data#page/6/gid/1000044/pat/6/par/E12000004/ati/102/are/E06000015/iid/93563/age/34/sex/4","E02 - Percentage of 5 year olds with experience of visually obvious dental decay")</f>
        <v>E02 - Percentage of 5 year olds with experience of visually obvious dental decay</v>
      </c>
      <c r="C155" s="3" t="s">
        <v>15</v>
      </c>
      <c r="D155" s="2"/>
      <c r="E155" s="2" t="s">
        <v>11</v>
      </c>
      <c r="F155" s="2" t="s">
        <v>75</v>
      </c>
      <c r="G155" s="3" t="s">
        <v>17</v>
      </c>
      <c r="H155" s="15" t="s">
        <v>91</v>
      </c>
      <c r="I155" s="2" t="s">
        <v>120</v>
      </c>
      <c r="J155" s="16">
        <v>43952</v>
      </c>
    </row>
    <row r="156" spans="1:10" ht="60" x14ac:dyDescent="0.25">
      <c r="A156" s="17">
        <v>93721</v>
      </c>
      <c r="B156" s="5" t="str">
        <f>HYPERLINK("https://fingertips.phe.org.uk/profile/public-health-outcomes-framework/data#page/6/gid/1000044/pat/6/par/E12000004/ati/102/are/E06000015/iid/92488/age/1/sex/4","E03 - Mortality rate from causes considered preventable")</f>
        <v>E03 - Mortality rate from causes considered preventable</v>
      </c>
      <c r="C156" s="3" t="s">
        <v>154</v>
      </c>
      <c r="D156" s="2" t="s">
        <v>164</v>
      </c>
      <c r="E156" s="2" t="s">
        <v>11</v>
      </c>
      <c r="F156" s="2" t="s">
        <v>12</v>
      </c>
      <c r="G156" s="3" t="s">
        <v>87</v>
      </c>
      <c r="H156" s="15" t="s">
        <v>93</v>
      </c>
      <c r="I156" s="2" t="s">
        <v>102</v>
      </c>
      <c r="J156" s="16">
        <v>44136</v>
      </c>
    </row>
    <row r="157" spans="1:10" ht="60" x14ac:dyDescent="0.25">
      <c r="A157" s="17">
        <v>40401</v>
      </c>
      <c r="B157" s="5" t="str">
        <f>HYPERLINK("https://fingertips.phe.org.uk/profile/public-health-outcomes-framework/data#page/6/gid/1000044/pat/6/par/E12000004/ati/102/are/E06000015/iid/40401/age/163/sex/4","E04a - Under 75 mortality rate from all cardiovascular diseases")</f>
        <v>E04a - Under 75 mortality rate from all cardiovascular diseases</v>
      </c>
      <c r="C157" s="3" t="s">
        <v>154</v>
      </c>
      <c r="D157" s="2"/>
      <c r="E157" s="2" t="s">
        <v>11</v>
      </c>
      <c r="F157" s="2" t="s">
        <v>12</v>
      </c>
      <c r="G157" s="3" t="s">
        <v>87</v>
      </c>
      <c r="H157" s="15" t="s">
        <v>93</v>
      </c>
      <c r="I157" s="2" t="s">
        <v>102</v>
      </c>
      <c r="J157" s="16">
        <v>44136</v>
      </c>
    </row>
    <row r="158" spans="1:10" ht="60" x14ac:dyDescent="0.25">
      <c r="A158" s="17">
        <v>93722</v>
      </c>
      <c r="B158" s="5" t="str">
        <f>HYPERLINK("https://fingertips.phe.org.uk/profile/public-health-outcomes-framework/data#page/6/gid/1000044/pat/6/par/E12000004/ati/102/are/E06000015/iid/40402/age/163/sex/4","E04b - Under 75 mortality rate from cardiovascular diseases considered preventable")</f>
        <v>E04b - Under 75 mortality rate from cardiovascular diseases considered preventable</v>
      </c>
      <c r="C158" s="3" t="s">
        <v>154</v>
      </c>
      <c r="D158" s="2" t="s">
        <v>164</v>
      </c>
      <c r="E158" s="2" t="s">
        <v>11</v>
      </c>
      <c r="F158" s="2" t="s">
        <v>12</v>
      </c>
      <c r="G158" s="3" t="s">
        <v>87</v>
      </c>
      <c r="H158" s="15" t="s">
        <v>93</v>
      </c>
      <c r="I158" s="2" t="s">
        <v>102</v>
      </c>
      <c r="J158" s="16">
        <v>44136</v>
      </c>
    </row>
    <row r="159" spans="1:10" ht="60" x14ac:dyDescent="0.25">
      <c r="A159" s="17">
        <v>40501</v>
      </c>
      <c r="B159" s="5" t="str">
        <f>HYPERLINK("https://fingertips.phe.org.uk/profile/public-health-outcomes-framework/data#page/6/gid/1000044/pat/6/par/E12000004/ati/102/are/E06000015/iid/40501/age/163/sex/4","E05a - Under 75 mortality rate from cancer")</f>
        <v>E05a - Under 75 mortality rate from cancer</v>
      </c>
      <c r="C159" s="3" t="s">
        <v>154</v>
      </c>
      <c r="D159" s="2"/>
      <c r="E159" s="2" t="s">
        <v>11</v>
      </c>
      <c r="F159" s="2" t="s">
        <v>12</v>
      </c>
      <c r="G159" s="3" t="s">
        <v>87</v>
      </c>
      <c r="H159" s="15" t="s">
        <v>93</v>
      </c>
      <c r="I159" s="2" t="s">
        <v>102</v>
      </c>
      <c r="J159" s="16">
        <v>44136</v>
      </c>
    </row>
    <row r="160" spans="1:10" ht="60" x14ac:dyDescent="0.25">
      <c r="A160" s="17">
        <v>93723</v>
      </c>
      <c r="B160" s="5" t="str">
        <f>HYPERLINK("https://fingertips.phe.org.uk/profile/public-health-outcomes-framework/data#page/6/gid/1000044/pat/6/par/E12000004/ati/102/are/E06000015/iid/40502/age/163/sex/4","E05b - Under 75 mortality rate from cancer considered preventable")</f>
        <v>E05b - Under 75 mortality rate from cancer considered preventable</v>
      </c>
      <c r="C160" s="3" t="s">
        <v>154</v>
      </c>
      <c r="D160" s="2" t="s">
        <v>164</v>
      </c>
      <c r="E160" s="2" t="s">
        <v>11</v>
      </c>
      <c r="F160" s="2" t="s">
        <v>12</v>
      </c>
      <c r="G160" s="3" t="s">
        <v>87</v>
      </c>
      <c r="H160" s="15" t="s">
        <v>93</v>
      </c>
      <c r="I160" s="2" t="s">
        <v>102</v>
      </c>
      <c r="J160" s="16">
        <v>44136</v>
      </c>
    </row>
    <row r="161" spans="1:10" ht="60" x14ac:dyDescent="0.25">
      <c r="A161" s="17">
        <v>40601</v>
      </c>
      <c r="B161" s="5" t="str">
        <f>HYPERLINK("https://fingertips.phe.org.uk/profile/public-health-outcomes-framework/data#page/6/gid/1000044/pat/6/par/E12000004/ati/102/are/E06000015/iid/40601/age/163/sex/4","E06a - Under 75 mortality rate from liver disease")</f>
        <v>E06a - Under 75 mortality rate from liver disease</v>
      </c>
      <c r="C161" s="3" t="s">
        <v>154</v>
      </c>
      <c r="D161" s="2"/>
      <c r="E161" s="2" t="s">
        <v>11</v>
      </c>
      <c r="F161" s="2" t="s">
        <v>12</v>
      </c>
      <c r="G161" s="3" t="s">
        <v>87</v>
      </c>
      <c r="H161" s="15" t="s">
        <v>93</v>
      </c>
      <c r="I161" s="2" t="s">
        <v>102</v>
      </c>
      <c r="J161" s="16">
        <v>44136</v>
      </c>
    </row>
    <row r="162" spans="1:10" ht="60" x14ac:dyDescent="0.25">
      <c r="A162" s="17">
        <v>93720</v>
      </c>
      <c r="B162" s="5" t="str">
        <f>HYPERLINK("https://fingertips.phe.org.uk/profile/public-health-outcomes-framework/data#page/6/gid/1000044/pat/6/par/E12000004/ati/102/are/E06000015/iid/40602/age/163/sex/4","E06b - Under 75 mortality rate from liver disease considered preventable")</f>
        <v>E06b - Under 75 mortality rate from liver disease considered preventable</v>
      </c>
      <c r="C162" s="3" t="s">
        <v>154</v>
      </c>
      <c r="D162" s="2" t="s">
        <v>164</v>
      </c>
      <c r="E162" s="2" t="s">
        <v>11</v>
      </c>
      <c r="F162" s="2" t="s">
        <v>12</v>
      </c>
      <c r="G162" s="3" t="s">
        <v>87</v>
      </c>
      <c r="H162" s="15" t="s">
        <v>93</v>
      </c>
      <c r="I162" s="2" t="s">
        <v>102</v>
      </c>
      <c r="J162" s="16">
        <v>44136</v>
      </c>
    </row>
    <row r="163" spans="1:10" ht="60" x14ac:dyDescent="0.25">
      <c r="A163" s="17">
        <v>40701</v>
      </c>
      <c r="B163" s="5" t="str">
        <f>HYPERLINK("https://fingertips.phe.org.uk/profile/public-health-outcomes-framework/data#page/6/gid/1000044/pat/6/par/E12000004/ati/102/are/E06000015/iid/40701/age/163/sex/4","E07a - Under 75 mortality rate from respiratory disease")</f>
        <v>E07a - Under 75 mortality rate from respiratory disease</v>
      </c>
      <c r="C163" s="3" t="s">
        <v>154</v>
      </c>
      <c r="D163" s="2"/>
      <c r="E163" s="2" t="s">
        <v>11</v>
      </c>
      <c r="F163" s="2" t="s">
        <v>12</v>
      </c>
      <c r="G163" s="3" t="s">
        <v>87</v>
      </c>
      <c r="H163" s="15" t="s">
        <v>93</v>
      </c>
      <c r="I163" s="2" t="s">
        <v>102</v>
      </c>
      <c r="J163" s="16">
        <v>44136</v>
      </c>
    </row>
    <row r="164" spans="1:10" ht="60" x14ac:dyDescent="0.25">
      <c r="A164" s="17">
        <v>93724</v>
      </c>
      <c r="B164" s="5" t="str">
        <f>HYPERLINK("https://fingertips.phe.org.uk/profile/public-health-outcomes-framework/data#page/6/gid/1000044/pat/6/par/E12000004/ati/102/are/E06000015/iid/40702/age/163/sex/4","E07b - Under 75 mortality rate from respiratory disease considered preventable")</f>
        <v>E07b - Under 75 mortality rate from respiratory disease considered preventable</v>
      </c>
      <c r="C164" s="3" t="s">
        <v>154</v>
      </c>
      <c r="D164" s="2" t="s">
        <v>164</v>
      </c>
      <c r="E164" s="2" t="s">
        <v>11</v>
      </c>
      <c r="F164" s="2" t="s">
        <v>12</v>
      </c>
      <c r="G164" s="3" t="s">
        <v>87</v>
      </c>
      <c r="H164" s="15" t="s">
        <v>93</v>
      </c>
      <c r="I164" s="2" t="s">
        <v>102</v>
      </c>
      <c r="J164" s="16">
        <v>44136</v>
      </c>
    </row>
    <row r="165" spans="1:10" ht="60" x14ac:dyDescent="0.25">
      <c r="A165" s="17">
        <v>92326</v>
      </c>
      <c r="B165" s="5" t="str">
        <f>HYPERLINK("https://fingertips.phe.org.uk/profile/public-health-outcomes-framework/data#page/6/gid/1000044/pat/6/par/E12000004/ati/102/are/E06000015/iid/92326/age/1/sex/4","E08 - Mortality rate from a range of specified communicable diseases, including influenza")</f>
        <v>E08 - Mortality rate from a range of specified communicable diseases, including influenza</v>
      </c>
      <c r="C165" s="3" t="s">
        <v>154</v>
      </c>
      <c r="D165" s="2"/>
      <c r="E165" s="2" t="s">
        <v>11</v>
      </c>
      <c r="F165" s="2" t="s">
        <v>12</v>
      </c>
      <c r="G165" s="3" t="s">
        <v>10</v>
      </c>
      <c r="H165" s="15" t="s">
        <v>93</v>
      </c>
      <c r="I165" s="2" t="s">
        <v>102</v>
      </c>
      <c r="J165" s="16">
        <v>44136</v>
      </c>
    </row>
    <row r="166" spans="1:10" ht="44.25" customHeight="1" x14ac:dyDescent="0.25">
      <c r="A166" s="17">
        <v>93581</v>
      </c>
      <c r="B166" s="5" t="s">
        <v>168</v>
      </c>
      <c r="C166" s="3" t="s">
        <v>177</v>
      </c>
      <c r="D166" s="2"/>
      <c r="E166" s="2" t="s">
        <v>79</v>
      </c>
      <c r="F166" s="2" t="s">
        <v>157</v>
      </c>
      <c r="G166" s="3" t="s">
        <v>90</v>
      </c>
      <c r="H166" s="15" t="s">
        <v>91</v>
      </c>
      <c r="I166" s="2" t="s">
        <v>170</v>
      </c>
      <c r="J166" s="16">
        <v>44166</v>
      </c>
    </row>
    <row r="167" spans="1:10" ht="45" customHeight="1" x14ac:dyDescent="0.25">
      <c r="A167" s="17">
        <v>93582</v>
      </c>
      <c r="B167" s="5" t="s">
        <v>169</v>
      </c>
      <c r="C167" s="3" t="s">
        <v>177</v>
      </c>
      <c r="D167" s="2"/>
      <c r="E167" s="2" t="s">
        <v>79</v>
      </c>
      <c r="F167" s="2" t="s">
        <v>157</v>
      </c>
      <c r="G167" s="3" t="s">
        <v>90</v>
      </c>
      <c r="H167" s="15" t="s">
        <v>91</v>
      </c>
      <c r="I167" s="2" t="s">
        <v>170</v>
      </c>
      <c r="J167" s="16">
        <v>44166</v>
      </c>
    </row>
    <row r="168" spans="1:10" ht="60" x14ac:dyDescent="0.25">
      <c r="A168" s="17">
        <v>41001</v>
      </c>
      <c r="B168" s="5" t="str">
        <f>HYPERLINK("https://fingertips.phe.org.uk/profile/public-health-outcomes-framework/data#page/6/gid/1000044/pat/6/par/E12000004/ati/102/are/E06000015/iid/41001/age/285/sex/4","E10 - Suicide rate")</f>
        <v>E10 - Suicide rate</v>
      </c>
      <c r="C168" s="3" t="s">
        <v>154</v>
      </c>
      <c r="D168" s="2"/>
      <c r="E168" s="2" t="s">
        <v>11</v>
      </c>
      <c r="F168" s="2" t="s">
        <v>12</v>
      </c>
      <c r="G168" s="3" t="s">
        <v>36</v>
      </c>
      <c r="H168" s="15" t="s">
        <v>91</v>
      </c>
      <c r="I168" s="2" t="s">
        <v>92</v>
      </c>
      <c r="J168" s="16">
        <v>44075</v>
      </c>
    </row>
    <row r="169" spans="1:10" ht="60" x14ac:dyDescent="0.25">
      <c r="A169" s="17">
        <v>41101</v>
      </c>
      <c r="B169" s="5" t="str">
        <f>HYPERLINK("https://fingertips.phe.org.uk/profile/public-health-outcomes-framework/data#page/6/gid/1000044/pat/6/par/E12000004/ati/102/are/E06000015/iid/41101/age/1/sex/4","E11 - Emergency readmissions within 30 days of discharge from hospital")</f>
        <v>E11 - Emergency readmissions within 30 days of discharge from hospital</v>
      </c>
      <c r="C169" s="3" t="s">
        <v>15</v>
      </c>
      <c r="D169" s="2"/>
      <c r="E169" s="2" t="s">
        <v>11</v>
      </c>
      <c r="F169" s="2" t="s">
        <v>12</v>
      </c>
      <c r="G169" s="3" t="s">
        <v>10</v>
      </c>
      <c r="H169" s="15" t="s">
        <v>91</v>
      </c>
      <c r="I169" s="2" t="s">
        <v>109</v>
      </c>
      <c r="J169" s="16">
        <v>43952</v>
      </c>
    </row>
    <row r="170" spans="1:10" ht="60" x14ac:dyDescent="0.25">
      <c r="A170" s="17">
        <v>41201</v>
      </c>
      <c r="B170" s="5" t="str">
        <f>HYPERLINK("https://fingertips.phe.org.uk/profile/public-health-outcomes-framework/data#page/6/gid/1000044/pat/6/par/E12000004/ati/102/are/E06000015/iid/41201/age/27/sex/4","E12a - Preventable sight loss - age related macular degeneration (AMD)")</f>
        <v>E12a - Preventable sight loss - age related macular degeneration (AMD)</v>
      </c>
      <c r="C170" s="3" t="s">
        <v>15</v>
      </c>
      <c r="D170" s="2"/>
      <c r="E170" s="2" t="s">
        <v>8</v>
      </c>
      <c r="F170" s="2" t="s">
        <v>25</v>
      </c>
      <c r="G170" s="3" t="s">
        <v>71</v>
      </c>
      <c r="H170" s="15" t="s">
        <v>93</v>
      </c>
      <c r="I170" s="2" t="s">
        <v>122</v>
      </c>
      <c r="J170" s="16">
        <v>43952</v>
      </c>
    </row>
    <row r="171" spans="1:10" ht="60" x14ac:dyDescent="0.25">
      <c r="A171" s="17">
        <v>41202</v>
      </c>
      <c r="B171" s="5" t="str">
        <f>HYPERLINK("https://fingertips.phe.org.uk/profile/public-health-outcomes-framework/data#page/6/gid/1000044/pat/6/par/E12000004/ati/102/are/E06000015/iid/41202/age/232/sex/4","E12b - Preventable sight loss - glaucoma")</f>
        <v>E12b - Preventable sight loss - glaucoma</v>
      </c>
      <c r="C171" s="3" t="s">
        <v>15</v>
      </c>
      <c r="D171" s="2"/>
      <c r="E171" s="2" t="s">
        <v>8</v>
      </c>
      <c r="F171" s="2" t="s">
        <v>25</v>
      </c>
      <c r="G171" s="3" t="s">
        <v>88</v>
      </c>
      <c r="H171" s="15" t="s">
        <v>93</v>
      </c>
      <c r="I171" s="2" t="s">
        <v>122</v>
      </c>
      <c r="J171" s="16">
        <v>43952</v>
      </c>
    </row>
    <row r="172" spans="1:10" ht="60" x14ac:dyDescent="0.25">
      <c r="A172" s="17">
        <v>41203</v>
      </c>
      <c r="B172" s="5" t="str">
        <f>HYPERLINK("https://fingertips.phe.org.uk/profile/public-health-outcomes-framework/data#page/6/gid/1000044/pat/6/par/E12000004/ati/102/are/E06000015/iid/41203/age/227/sex/4","E12c - Preventable sight loss - diabetic eye disease")</f>
        <v>E12c - Preventable sight loss - diabetic eye disease</v>
      </c>
      <c r="C172" s="3" t="s">
        <v>15</v>
      </c>
      <c r="D172" s="2"/>
      <c r="E172" s="2" t="s">
        <v>8</v>
      </c>
      <c r="F172" s="2" t="s">
        <v>25</v>
      </c>
      <c r="G172" s="3" t="s">
        <v>66</v>
      </c>
      <c r="H172" s="15" t="s">
        <v>93</v>
      </c>
      <c r="I172" s="2" t="s">
        <v>122</v>
      </c>
      <c r="J172" s="16">
        <v>43952</v>
      </c>
    </row>
    <row r="173" spans="1:10" ht="60" x14ac:dyDescent="0.25">
      <c r="A173" s="17">
        <v>41204</v>
      </c>
      <c r="B173" s="5" t="str">
        <f>HYPERLINK("https://fingertips.phe.org.uk/profile/public-health-outcomes-framework/data#page/6/gid/1000044/pat/6/par/E12000004/ati/102/are/E06000015/iid/41204/age/1/sex/4","E12d - Preventable sight loss - sight loss certifications")</f>
        <v>E12d - Preventable sight loss - sight loss certifications</v>
      </c>
      <c r="C173" s="3" t="s">
        <v>15</v>
      </c>
      <c r="D173" s="2"/>
      <c r="E173" s="2" t="s">
        <v>8</v>
      </c>
      <c r="F173" s="2" t="s">
        <v>25</v>
      </c>
      <c r="G173" s="3" t="s">
        <v>10</v>
      </c>
      <c r="H173" s="15" t="s">
        <v>93</v>
      </c>
      <c r="I173" s="2" t="s">
        <v>122</v>
      </c>
      <c r="J173" s="16">
        <v>43952</v>
      </c>
    </row>
    <row r="174" spans="1:10" ht="60" x14ac:dyDescent="0.25">
      <c r="A174" s="17">
        <v>41401</v>
      </c>
      <c r="B174" s="5" t="str">
        <f>HYPERLINK("https://fingertips.phe.org.uk/profile/public-health-outcomes-framework/data#page/6/gid/1000044/pat/6/par/E12000004/ati/102/are/E06000015/iid/41401/age/27/sex/4","E13 - Hip fractures in people aged 65 and over")</f>
        <v>E13 - Hip fractures in people aged 65 and over</v>
      </c>
      <c r="C174" s="3" t="s">
        <v>143</v>
      </c>
      <c r="D174" s="2"/>
      <c r="E174" s="2" t="s">
        <v>11</v>
      </c>
      <c r="F174" s="2" t="s">
        <v>12</v>
      </c>
      <c r="G174" s="3" t="s">
        <v>71</v>
      </c>
      <c r="H174" s="15" t="s">
        <v>93</v>
      </c>
      <c r="I174" s="2" t="s">
        <v>104</v>
      </c>
      <c r="J174" s="16">
        <v>44228</v>
      </c>
    </row>
    <row r="175" spans="1:10" ht="60" x14ac:dyDescent="0.25">
      <c r="A175" s="17">
        <v>41402</v>
      </c>
      <c r="B175" s="5" t="str">
        <f>HYPERLINK("https://fingertips.phe.org.uk/profile/public-health-outcomes-framework/data#page/6/gid/1000044/pat/6/par/E12000004/ati/102/are/E06000015/iid/41402/age/228/sex/4","E13 - Hip fractures in people aged 65-79")</f>
        <v>E13 - Hip fractures in people aged 65-79</v>
      </c>
      <c r="C175" s="3" t="s">
        <v>143</v>
      </c>
      <c r="D175" s="2"/>
      <c r="E175" s="2" t="s">
        <v>11</v>
      </c>
      <c r="F175" s="2" t="s">
        <v>12</v>
      </c>
      <c r="G175" s="3" t="s">
        <v>72</v>
      </c>
      <c r="H175" s="15" t="s">
        <v>93</v>
      </c>
      <c r="I175" s="2" t="s">
        <v>104</v>
      </c>
      <c r="J175" s="16">
        <v>44228</v>
      </c>
    </row>
    <row r="176" spans="1:10" ht="60" x14ac:dyDescent="0.25">
      <c r="A176" s="17">
        <v>41403</v>
      </c>
      <c r="B176" s="5" t="str">
        <f>HYPERLINK("https://fingertips.phe.org.uk/profile/public-health-outcomes-framework/data#page/6/gid/1000044/pat/6/par/E12000004/ati/102/are/E06000015/iid/41403/age/229/sex/4","E13 - Hip fractures in people aged 80+")</f>
        <v>E13 - Hip fractures in people aged 80+</v>
      </c>
      <c r="C176" s="3" t="s">
        <v>143</v>
      </c>
      <c r="D176" s="2"/>
      <c r="E176" s="2" t="s">
        <v>11</v>
      </c>
      <c r="F176" s="2" t="s">
        <v>12</v>
      </c>
      <c r="G176" s="3" t="s">
        <v>73</v>
      </c>
      <c r="H176" s="15" t="s">
        <v>93</v>
      </c>
      <c r="I176" s="2" t="s">
        <v>104</v>
      </c>
      <c r="J176" s="16">
        <v>44228</v>
      </c>
    </row>
    <row r="177" spans="1:10" ht="60" x14ac:dyDescent="0.25">
      <c r="A177" s="17">
        <v>90360</v>
      </c>
      <c r="B177" s="5" t="str">
        <f>HYPERLINK("https://fingertips.phe.org.uk/profile/public-health-outcomes-framework/data#page/6/gid/1000044/pat/6/par/E12000004/ati/102/are/E06000015/iid/90360/age/1/sex/4","E14 - Excess winter deaths index")</f>
        <v>E14 - Excess winter deaths index</v>
      </c>
      <c r="C177" s="3" t="s">
        <v>156</v>
      </c>
      <c r="D177" s="2"/>
      <c r="E177" s="2" t="s">
        <v>11</v>
      </c>
      <c r="F177" s="2" t="s">
        <v>12</v>
      </c>
      <c r="G177" s="3" t="s">
        <v>10</v>
      </c>
      <c r="H177" s="15" t="s">
        <v>93</v>
      </c>
      <c r="I177" s="2" t="s">
        <v>102</v>
      </c>
      <c r="J177" s="16">
        <v>43770</v>
      </c>
    </row>
    <row r="178" spans="1:10" ht="60" x14ac:dyDescent="0.25">
      <c r="A178" s="17">
        <v>90361</v>
      </c>
      <c r="B178" s="5" t="str">
        <f>HYPERLINK("https://fingertips.phe.org.uk/profile/public-health-outcomes-framework/data#page/6/gid/1000044/pat/6/par/E12000004/ati/102/are/E06000015/iid/90361/age/20/sex/4","E14 - Excess winter deaths index (age 85+)")</f>
        <v>E14 - Excess winter deaths index (age 85+)</v>
      </c>
      <c r="C178" s="3" t="s">
        <v>156</v>
      </c>
      <c r="D178" s="2"/>
      <c r="E178" s="2" t="s">
        <v>11</v>
      </c>
      <c r="F178" s="2" t="s">
        <v>12</v>
      </c>
      <c r="G178" s="3" t="s">
        <v>89</v>
      </c>
      <c r="H178" s="15" t="s">
        <v>93</v>
      </c>
      <c r="I178" s="2" t="s">
        <v>102</v>
      </c>
      <c r="J178" s="16">
        <v>44136</v>
      </c>
    </row>
    <row r="179" spans="1:10" ht="60" x14ac:dyDescent="0.25">
      <c r="A179" s="17">
        <v>92949</v>
      </c>
      <c r="B179" s="5" t="str">
        <f>HYPERLINK("https://fingertips.phe.org.uk/profile/public-health-outcomes-framework/data#page/6/gid/1000044/pat/6/par/E12000004/ati/102/are/E06000015/iid/92949/age/27/sex/4","E15 - Estimated dementia diagnosis rate (aged 65 and over)")</f>
        <v>E15 - Estimated dementia diagnosis rate (aged 65 and over)</v>
      </c>
      <c r="C179" s="3">
        <v>2020</v>
      </c>
      <c r="D179" s="2"/>
      <c r="E179" s="2" t="s">
        <v>11</v>
      </c>
      <c r="F179" s="2" t="s">
        <v>31</v>
      </c>
      <c r="G179" s="3" t="s">
        <v>71</v>
      </c>
      <c r="H179" s="15" t="s">
        <v>91</v>
      </c>
      <c r="I179" s="2" t="s">
        <v>109</v>
      </c>
      <c r="J179" s="16">
        <v>44044</v>
      </c>
    </row>
    <row r="181" spans="1:10" ht="15.75" x14ac:dyDescent="0.25">
      <c r="A181" s="6" t="s">
        <v>123</v>
      </c>
    </row>
  </sheetData>
  <hyperlinks>
    <hyperlink ref="B60" r:id="rId1" location="page/6/gid/1000042/pat/6/par/E12000004/ati/102/are/E06000015/iid/93584/age/-1/sex/2/cid/4" xr:uid="{CCD043FF-F489-4684-A633-2D1060BAB3B2}"/>
    <hyperlink ref="B61" r:id="rId2" location="page/6/gid/1000042/pat/6/par/E12000004/ati/102/are/E06000015/iid/93585/age/-1/sex/2/cid/4" xr:uid="{B06F13E0-2278-4BB4-BCFB-999DE7411DA2}"/>
    <hyperlink ref="B62" r:id="rId3" location="page/6/gid/1000042/pat/6/par/E12000004/ati/102/are/E06000015/iid/93585/age/-1/sex/2/cid/4" xr:uid="{97FB86EE-36F1-4C75-98DB-345E2A6B6CAE}"/>
    <hyperlink ref="B12" r:id="rId4" location="page/6/gid/1000041/pat/6/par/E12000004/ati/102/are/E06000015/iid/93190/age/94/sex/1/cid/4" display="B01b - Children in low income families (under 16s)" xr:uid="{66E6CE00-4763-4DCD-83F8-E40701BE493C}"/>
    <hyperlink ref="B141" r:id="rId5" location="page/6/gid/1000043/pat/6/par/E12000004/ati/102/are/E06000015/iid/93691/age/176/sex/4/cid/4/page-options/ovw-do-0_car-do-0" xr:uid="{37C5251B-B792-4F4B-A707-58B57C9E9D7C}"/>
    <hyperlink ref="B166" r:id="rId6" location="page/6/gid/1000044/pat/6/par/E12000004/ati/102/are/E06000015/iid/93581/age/181/sex/4/cid/4" xr:uid="{6230E0B9-38FD-4CB7-A89C-9DBEFBFD734B}"/>
    <hyperlink ref="B167" r:id="rId7" location="page/6/gid/1000044/pat/6/par/E12000004/ati/102/are/E06000015/iid/93582/age/181/sex/4/cid/4" xr:uid="{464E9784-0F38-4691-9074-604E58D1FE93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table_of_updates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Westwood</dc:creator>
  <cp:lastModifiedBy>Leigh Dowd</cp:lastModifiedBy>
  <dcterms:created xsi:type="dcterms:W3CDTF">2020-03-10T11:53:28Z</dcterms:created>
  <dcterms:modified xsi:type="dcterms:W3CDTF">2021-01-27T17:09:19Z</dcterms:modified>
</cp:coreProperties>
</file>